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itzm\OneDrive\Public\"/>
    </mc:Choice>
  </mc:AlternateContent>
  <bookViews>
    <workbookView xWindow="-120" yWindow="-120" windowWidth="29040" windowHeight="17640"/>
  </bookViews>
  <sheets>
    <sheet name="Published Courses" sheetId="1" r:id="rId1"/>
  </sheets>
  <definedNames>
    <definedName name="_xlnm._FilterDatabase" localSheetId="0">'Published Courses'!$A$1:$H$1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<sst xmlns="http://schemas.openxmlformats.org/spreadsheetml/2006/main" count="7018" uniqueCount="7018">
  <si>
    <t>Course Code</t>
  </si>
  <si>
    <t>Course Title</t>
  </si>
  <si>
    <t>Timetable</t>
  </si>
  <si>
    <t xml:space="preserve">Published on Canvas
(Link requires login)</t>
  </si>
  <si>
    <t xml:space="preserve">Published on LumiNUS
(Link requires login)</t>
  </si>
  <si>
    <t>Faculty</t>
  </si>
  <si>
    <t>Department</t>
  </si>
  <si>
    <t>Total Enrolment</t>
  </si>
  <si>
    <t>AC5001</t>
  </si>
  <si>
    <t>Architectural History of Singapore</t>
  </si>
  <si>
    <t>College of Design and Eng</t>
  </si>
  <si>
    <t>Architecture</t>
  </si>
  <si>
    <t>AC5002</t>
  </si>
  <si>
    <t>Conservation Approaches and Philosophies</t>
  </si>
  <si>
    <t>AC5006</t>
  </si>
  <si>
    <t>Disaster Risk Management of Cultural Heritage</t>
  </si>
  <si>
    <t>AC5007</t>
  </si>
  <si>
    <t>Dissertation</t>
  </si>
  <si>
    <t>AC5009</t>
  </si>
  <si>
    <t>Design for Adaptive Reuse</t>
  </si>
  <si>
    <t>AC5011</t>
  </si>
  <si>
    <t>Conservation of C20th Buildings</t>
  </si>
  <si>
    <t>AC5013</t>
  </si>
  <si>
    <t>Practical Building Conservation Skills II</t>
  </si>
  <si>
    <t>AC5014</t>
  </si>
  <si>
    <t>Internship</t>
  </si>
  <si>
    <t>ACC1701</t>
  </si>
  <si>
    <t>Accounting for Decision Makers</t>
  </si>
  <si>
    <t>NUS Business School</t>
  </si>
  <si>
    <t>Accounting</t>
  </si>
  <si>
    <t>ACC1701X</t>
  </si>
  <si>
    <t>ACC2706</t>
  </si>
  <si>
    <t>Managerial Accounting</t>
  </si>
  <si>
    <t>ACC2707</t>
  </si>
  <si>
    <t>Corporate Accounting &amp; Reporting I</t>
  </si>
  <si>
    <t>ACC2708</t>
  </si>
  <si>
    <t>Corporate Accounting &amp; Reporting II</t>
  </si>
  <si>
    <t>ACC2709</t>
  </si>
  <si>
    <t>Accounting Information Systems</t>
  </si>
  <si>
    <t>ACC3701</t>
  </si>
  <si>
    <t>Assurance and Attestation</t>
  </si>
  <si>
    <t>ACC3702</t>
  </si>
  <si>
    <t>Corporate and Securities Law</t>
  </si>
  <si>
    <t>ACC3703</t>
  </si>
  <si>
    <t>Taxation</t>
  </si>
  <si>
    <t>ACC3704</t>
  </si>
  <si>
    <t>Advanced Corporate Accounting and Reporting</t>
  </si>
  <si>
    <t>ACC3705</t>
  </si>
  <si>
    <t>Valuation</t>
  </si>
  <si>
    <t>ACC3706</t>
  </si>
  <si>
    <t>Corporate Governance and Risk Management</t>
  </si>
  <si>
    <t>ACC3707</t>
  </si>
  <si>
    <t>Integrated Perspectives in Accounting and Business</t>
  </si>
  <si>
    <t>ACC4619</t>
  </si>
  <si>
    <t>Advanced Independent Study in Accounting</t>
  </si>
  <si>
    <t>ACC4629</t>
  </si>
  <si>
    <t>ACC4711</t>
  </si>
  <si>
    <t>Advanced Taxation</t>
  </si>
  <si>
    <t>ACC4712</t>
  </si>
  <si>
    <t>Forensic Accounting</t>
  </si>
  <si>
    <t>ACC4713</t>
  </si>
  <si>
    <t>Financial Institution Audit &amp; Compliance</t>
  </si>
  <si>
    <t>ACC4714</t>
  </si>
  <si>
    <t>Advanced Assurance and Attestation</t>
  </si>
  <si>
    <t>ACC4751</t>
  </si>
  <si>
    <t>ACC4752</t>
  </si>
  <si>
    <t>Advanced Independent Study in Accounting (2 MCs)</t>
  </si>
  <si>
    <t>ACC4761A</t>
  </si>
  <si>
    <t>Seminars in Accounting: Internal Audit</t>
  </si>
  <si>
    <t>ACC4761H</t>
  </si>
  <si>
    <t>Sem. in Acctg: Accounting &amp; Business Analysis for Banks</t>
  </si>
  <si>
    <t>ACE5404</t>
  </si>
  <si>
    <t>Heritage: Peoples and Institutions</t>
  </si>
  <si>
    <t>Faculty of Arts &amp; Social Sci</t>
  </si>
  <si>
    <t>Communications &amp; New Media</t>
  </si>
  <si>
    <t>ACE5406</t>
  </si>
  <si>
    <t>Arts Business</t>
  </si>
  <si>
    <t>ACE5407</t>
  </si>
  <si>
    <t>Museums, Exhibitions and Curation</t>
  </si>
  <si>
    <t>AH2101</t>
  </si>
  <si>
    <t>Introduction to Art History</t>
  </si>
  <si>
    <t>History</t>
  </si>
  <si>
    <t>AH2201</t>
  </si>
  <si>
    <t>Chinese Painting: Styles and Masters</t>
  </si>
  <si>
    <t>AH2204</t>
  </si>
  <si>
    <t>Art in Southeast Asia, 4th-14th centuries CE</t>
  </si>
  <si>
    <t>AH3204</t>
  </si>
  <si>
    <t>Methods and Approaches to Art History</t>
  </si>
  <si>
    <t>ALS1010</t>
  </si>
  <si>
    <t>Learning to Learn Better</t>
  </si>
  <si>
    <t>Yong Loo Lin Sch of Medicine</t>
  </si>
  <si>
    <t>Physiology</t>
  </si>
  <si>
    <t>AN1101E</t>
  </si>
  <si>
    <t>Anthropology &amp; Human Condition</t>
  </si>
  <si>
    <t>Sociology and Anthropology</t>
  </si>
  <si>
    <t>AR1101</t>
  </si>
  <si>
    <t>Design I</t>
  </si>
  <si>
    <t>AR2101</t>
  </si>
  <si>
    <t>Design 3</t>
  </si>
  <si>
    <t>AR2225</t>
  </si>
  <si>
    <t>Reading Visual Images</t>
  </si>
  <si>
    <t>AR2228</t>
  </si>
  <si>
    <t>History &amp; Theory of Architecture II</t>
  </si>
  <si>
    <t>AR2328</t>
  </si>
  <si>
    <t>Architectural Construction &amp; Tectonics</t>
  </si>
  <si>
    <t>AR2522</t>
  </si>
  <si>
    <t>Computational Thinking: Performance Based Design</t>
  </si>
  <si>
    <t>AR3101</t>
  </si>
  <si>
    <t>Design 5</t>
  </si>
  <si>
    <t>AR3223</t>
  </si>
  <si>
    <t>Introduction to Urbanism</t>
  </si>
  <si>
    <t>AR3412</t>
  </si>
  <si>
    <t>Work Experience Internship</t>
  </si>
  <si>
    <t>AR3721</t>
  </si>
  <si>
    <t>Building Environmental System Modelling</t>
  </si>
  <si>
    <t>AR4421</t>
  </si>
  <si>
    <t>Architecture Internship Programme</t>
  </si>
  <si>
    <t>AR4955</t>
  </si>
  <si>
    <t>Topics in Architectural Design</t>
  </si>
  <si>
    <t>AR5011</t>
  </si>
  <si>
    <t>Research Methodology</t>
  </si>
  <si>
    <t>AR5121</t>
  </si>
  <si>
    <t>SPECIAL TOPICS IN TECHNOLOGY</t>
  </si>
  <si>
    <t>AR5221</t>
  </si>
  <si>
    <t>CONTEMPORARY THEORIES</t>
  </si>
  <si>
    <t>AR5321</t>
  </si>
  <si>
    <t>Advanced Architectural Integration</t>
  </si>
  <si>
    <t>AR5423</t>
  </si>
  <si>
    <t>Architectural Practice</t>
  </si>
  <si>
    <t>AR5601</t>
  </si>
  <si>
    <t>Urban Design Theory and Praxis</t>
  </si>
  <si>
    <t>AR5770</t>
  </si>
  <si>
    <t>GRADUATE SEMINAR</t>
  </si>
  <si>
    <t>AR5801</t>
  </si>
  <si>
    <t>Options Design Research Studio 1</t>
  </si>
  <si>
    <t>AR5802</t>
  </si>
  <si>
    <t>Options Design Research Studio 2</t>
  </si>
  <si>
    <t>AR5803</t>
  </si>
  <si>
    <t>Architectural &amp; Technology Design 1</t>
  </si>
  <si>
    <t>AR5805</t>
  </si>
  <si>
    <t>Advanced Architecture Studio</t>
  </si>
  <si>
    <t>AR5806</t>
  </si>
  <si>
    <t>Architectural Design Research Report</t>
  </si>
  <si>
    <t>AR5807</t>
  </si>
  <si>
    <t>Architectural Design Thesis</t>
  </si>
  <si>
    <t>AR5952B</t>
  </si>
  <si>
    <t>Topics in Urbanism 2</t>
  </si>
  <si>
    <t>AR5954A</t>
  </si>
  <si>
    <t>Topics in Landscape Architecture 1</t>
  </si>
  <si>
    <t>AR5955</t>
  </si>
  <si>
    <t>Topics in Research by Design</t>
  </si>
  <si>
    <t>AR5955A</t>
  </si>
  <si>
    <t>Topics in Research by Design 1</t>
  </si>
  <si>
    <t>AR5955B</t>
  </si>
  <si>
    <t>Topics in Research by Design 2</t>
  </si>
  <si>
    <t>AR5955D</t>
  </si>
  <si>
    <t>Topics in Research by Design 4</t>
  </si>
  <si>
    <t>AR5955E</t>
  </si>
  <si>
    <t>Topics in Research by Design 5</t>
  </si>
  <si>
    <t>AR5955F</t>
  </si>
  <si>
    <t>Topics in Research by Design 6</t>
  </si>
  <si>
    <t>AR5956A</t>
  </si>
  <si>
    <t>Topics in Design and Built Environment 1</t>
  </si>
  <si>
    <t>AR5956B</t>
  </si>
  <si>
    <t>Topics in Design and Built Environment 2</t>
  </si>
  <si>
    <t>AR5956C</t>
  </si>
  <si>
    <t>Topics in Design and Built Environment 3</t>
  </si>
  <si>
    <t>AR5956D</t>
  </si>
  <si>
    <t>Topics in Design and Built Environment 4</t>
  </si>
  <si>
    <t>AR5956E</t>
  </si>
  <si>
    <t>Topics in Design and Built Environment 5</t>
  </si>
  <si>
    <t>AR5957A</t>
  </si>
  <si>
    <t>Topics in History and Theory of Architecture 1</t>
  </si>
  <si>
    <t>AR5957B</t>
  </si>
  <si>
    <t>Topics in History and Theory of Architecture 2</t>
  </si>
  <si>
    <t>AR5957D</t>
  </si>
  <si>
    <t>Topics in History and Theory of Architecture 4</t>
  </si>
  <si>
    <t>AR5957E</t>
  </si>
  <si>
    <t>Topics in History and Theory of Architecture 5</t>
  </si>
  <si>
    <t>AR5957F</t>
  </si>
  <si>
    <t>Topics in History and Theory of Architecture 6</t>
  </si>
  <si>
    <t>AR5957G</t>
  </si>
  <si>
    <t>Topics in History and Theory of Architecture 7</t>
  </si>
  <si>
    <t>AR5958A</t>
  </si>
  <si>
    <t>Topics in Urbanism 1</t>
  </si>
  <si>
    <t>AR5958B</t>
  </si>
  <si>
    <t>AR5958C</t>
  </si>
  <si>
    <t>Topics in Urbanism 3</t>
  </si>
  <si>
    <t>AR5958D</t>
  </si>
  <si>
    <t>Topics in Urbanism 4</t>
  </si>
  <si>
    <t>AR5958E</t>
  </si>
  <si>
    <t>Topics in Urbanism 5</t>
  </si>
  <si>
    <t>AR5958F</t>
  </si>
  <si>
    <t>Topics in Urbanism 6</t>
  </si>
  <si>
    <t>AR5959A</t>
  </si>
  <si>
    <t>Topics in Design Technology 1</t>
  </si>
  <si>
    <t>AR5959B</t>
  </si>
  <si>
    <t>Topics in Design Technology 2</t>
  </si>
  <si>
    <t>AR5959C</t>
  </si>
  <si>
    <t>Topics in Design Technology 3</t>
  </si>
  <si>
    <t>AR5959D</t>
  </si>
  <si>
    <t>Topics in Design Technology 4</t>
  </si>
  <si>
    <t>AR5959E</t>
  </si>
  <si>
    <t>Topics in Design Technology 5</t>
  </si>
  <si>
    <t>AR6770</t>
  </si>
  <si>
    <t>PHD SEMINAR</t>
  </si>
  <si>
    <t>AS2237</t>
  </si>
  <si>
    <t>The U.S.: From Settlement to Superpower</t>
  </si>
  <si>
    <t>AUD5114</t>
  </si>
  <si>
    <t>Electrophysiological Assessment B</t>
  </si>
  <si>
    <t>Div of Grad Medical Studies</t>
  </si>
  <si>
    <t>AUD5216</t>
  </si>
  <si>
    <t>Vestibular Assessment and Management B</t>
  </si>
  <si>
    <t>AUD5217</t>
  </si>
  <si>
    <t>Hearing Devices and Rehabilitation B (Part 1)</t>
  </si>
  <si>
    <t>AUD5218</t>
  </si>
  <si>
    <t>Clinical Audiology B (Part 1)</t>
  </si>
  <si>
    <t>AUD5219</t>
  </si>
  <si>
    <t>Paediatric Audiology B - Part 1</t>
  </si>
  <si>
    <t>AUD5220</t>
  </si>
  <si>
    <t>Independent Studies in Audiology (Research project - part 1)</t>
  </si>
  <si>
    <t>BAA6002</t>
  </si>
  <si>
    <t>Accounting Research Seminars II</t>
  </si>
  <si>
    <t>BBP6781</t>
  </si>
  <si>
    <t>Theory of Strategic Management</t>
  </si>
  <si>
    <t>Strategy and Policy</t>
  </si>
  <si>
    <t>BDC6112</t>
  </si>
  <si>
    <t>Stochastic Processes I</t>
  </si>
  <si>
    <t>Analytics and Operations</t>
  </si>
  <si>
    <t>BDC6113</t>
  </si>
  <si>
    <t>Foundations of Inventory Management</t>
  </si>
  <si>
    <t>BHD4001</t>
  </si>
  <si>
    <t>Honours Dissertation</t>
  </si>
  <si>
    <t>BIZ Dean's Office</t>
  </si>
  <si>
    <t>BI3001A</t>
  </si>
  <si>
    <t>Business Internship I</t>
  </si>
  <si>
    <t>BI3001B</t>
  </si>
  <si>
    <t>BI3001C</t>
  </si>
  <si>
    <t>BI3002A</t>
  </si>
  <si>
    <t>Business Internship II</t>
  </si>
  <si>
    <t>BI3002B</t>
  </si>
  <si>
    <t>BI3003</t>
  </si>
  <si>
    <t>BI3003A</t>
  </si>
  <si>
    <t>BI3003B</t>
  </si>
  <si>
    <t>BI3003C</t>
  </si>
  <si>
    <t>BI3003D</t>
  </si>
  <si>
    <t>BI3704A</t>
  </si>
  <si>
    <t>BI3704B</t>
  </si>
  <si>
    <t>BI3704C</t>
  </si>
  <si>
    <t>BI3704D</t>
  </si>
  <si>
    <t>BI3704R</t>
  </si>
  <si>
    <t>BI3708A</t>
  </si>
  <si>
    <t>BI3708B</t>
  </si>
  <si>
    <t>BI3708R</t>
  </si>
  <si>
    <t>BI3712A</t>
  </si>
  <si>
    <t>Business Internship III</t>
  </si>
  <si>
    <t>BI3712B</t>
  </si>
  <si>
    <t>BI3712R</t>
  </si>
  <si>
    <t>BIS3001</t>
  </si>
  <si>
    <t>Independent Study Module in Business</t>
  </si>
  <si>
    <t>BIS3001A</t>
  </si>
  <si>
    <t>BL5102</t>
  </si>
  <si>
    <t>Environmental Science</t>
  </si>
  <si>
    <t>CDE Dean's Office</t>
  </si>
  <si>
    <t>BL5198</t>
  </si>
  <si>
    <t>GRADUATE SEMINAR MODULE IN BIOLOGICAL SCIENCES</t>
  </si>
  <si>
    <t>Faculty of Science</t>
  </si>
  <si>
    <t>Biological Sciences</t>
  </si>
  <si>
    <t>BL5199</t>
  </si>
  <si>
    <t>Research Project in Conservation and Nature-based Climate Solutions</t>
  </si>
  <si>
    <t>BL5201</t>
  </si>
  <si>
    <t>Structural Biology And Proteomics</t>
  </si>
  <si>
    <t>BL5207A</t>
  </si>
  <si>
    <t>Topics In Developmental Biology</t>
  </si>
  <si>
    <t>BL5214</t>
  </si>
  <si>
    <t>ADVANCED PROTEINS NMR</t>
  </si>
  <si>
    <t>BL5215</t>
  </si>
  <si>
    <t>MACROMOLECULAR X-RAY CRYSTALLOGRAPHY</t>
  </si>
  <si>
    <t>BL5222</t>
  </si>
  <si>
    <t>Cellular Mechanisms</t>
  </si>
  <si>
    <t>BL5223</t>
  </si>
  <si>
    <t>Advanced Molecular Genetics</t>
  </si>
  <si>
    <t>BL5228</t>
  </si>
  <si>
    <t>Advances in Cell and Molecular Biology</t>
  </si>
  <si>
    <t>BL5229</t>
  </si>
  <si>
    <t>Fundamentals in Biophysical Sciences</t>
  </si>
  <si>
    <t>BL5230</t>
  </si>
  <si>
    <t>Biological Invasions</t>
  </si>
  <si>
    <t>BL5232</t>
  </si>
  <si>
    <t>Introduction to Bioimaging</t>
  </si>
  <si>
    <t>BL5233</t>
  </si>
  <si>
    <t>Data Analysis for Conservation Biology with R</t>
  </si>
  <si>
    <t>BL5236</t>
  </si>
  <si>
    <t>Introduction to Electron Microscopy for Life Sciences</t>
  </si>
  <si>
    <t>BL5239</t>
  </si>
  <si>
    <t>Science and Communication</t>
  </si>
  <si>
    <t>BL5299</t>
  </si>
  <si>
    <t>Internship in Conservation and Nature-based Climate Solutions</t>
  </si>
  <si>
    <t>BL5301</t>
  </si>
  <si>
    <t>Conservation Problems and Practice</t>
  </si>
  <si>
    <t>BL5311</t>
  </si>
  <si>
    <t>Freshwater Conservation</t>
  </si>
  <si>
    <t>BL5322</t>
  </si>
  <si>
    <t>Field Techniques in Biological Conservation</t>
  </si>
  <si>
    <t>BL5324</t>
  </si>
  <si>
    <t>Ecological Perspectives on Global Change</t>
  </si>
  <si>
    <t>BL5601</t>
  </si>
  <si>
    <t>Case Studies in Biotechnology</t>
  </si>
  <si>
    <t>BL5602</t>
  </si>
  <si>
    <t>Genetic Engineering in Biotechnology</t>
  </si>
  <si>
    <t>BL5631</t>
  </si>
  <si>
    <t>Practical Analysis of Genomic Data using R</t>
  </si>
  <si>
    <t>BL5661</t>
  </si>
  <si>
    <t>Urban Agriculture and Crop Biotechnology</t>
  </si>
  <si>
    <t>BL5699</t>
  </si>
  <si>
    <t>Capstone Project in Biotechnology</t>
  </si>
  <si>
    <t>BLD3002</t>
  </si>
  <si>
    <t>CEOs as Leaders</t>
  </si>
  <si>
    <t>BLD3003</t>
  </si>
  <si>
    <t>Personal Leadership Development</t>
  </si>
  <si>
    <t>BLD3004</t>
  </si>
  <si>
    <t>Topics in Leadership Development</t>
  </si>
  <si>
    <t>BMA5001</t>
  </si>
  <si>
    <t>MANAGERIAL ECONOMICS</t>
  </si>
  <si>
    <t>BMA5003</t>
  </si>
  <si>
    <t>FINANCIAL ACCOUNTING</t>
  </si>
  <si>
    <t>BMA5008</t>
  </si>
  <si>
    <t>FINANCIAL MANAGEMENT</t>
  </si>
  <si>
    <t>BMA5013</t>
  </si>
  <si>
    <t>CORPORATE STRATEGY</t>
  </si>
  <si>
    <t>BMA5016</t>
  </si>
  <si>
    <t>Leading with Impact</t>
  </si>
  <si>
    <t>BMA5017</t>
  </si>
  <si>
    <t>Managerial Operations and Analytics</t>
  </si>
  <si>
    <t>BMA5104</t>
  </si>
  <si>
    <t>GLOBAL STRATEGIC MANAGEMENT</t>
  </si>
  <si>
    <t>BMA5130</t>
  </si>
  <si>
    <t>Client-Centred Consulting</t>
  </si>
  <si>
    <t>BMA5132</t>
  </si>
  <si>
    <t>Emerging Tech and the Value of Data</t>
  </si>
  <si>
    <t>BMA5134</t>
  </si>
  <si>
    <t>Entrepreneurial Management</t>
  </si>
  <si>
    <t>BMA5275</t>
  </si>
  <si>
    <t>Analytics in Managerial Economics</t>
  </si>
  <si>
    <t>BMA5314</t>
  </si>
  <si>
    <t>Entrepreneurial Finance</t>
  </si>
  <si>
    <t>BMA5335</t>
  </si>
  <si>
    <t>Digital Assets and Blockchain in Finance</t>
  </si>
  <si>
    <t>BMA5404</t>
  </si>
  <si>
    <t>Entrepreneurship &amp; Innovation</t>
  </si>
  <si>
    <t>BMA5406</t>
  </si>
  <si>
    <t>Negotiations and Conflict Management</t>
  </si>
  <si>
    <t>BMA5431</t>
  </si>
  <si>
    <t>AI for Talent Management and Organizational Design</t>
  </si>
  <si>
    <t>BMA5505</t>
  </si>
  <si>
    <t>SERVICES MANAGEMENT</t>
  </si>
  <si>
    <t>BMA5506</t>
  </si>
  <si>
    <t>PRODUCT &amp; BRAND MANAGEMENT</t>
  </si>
  <si>
    <t>BMA5515</t>
  </si>
  <si>
    <t>Research for Marketing Insights</t>
  </si>
  <si>
    <t>BMA5538</t>
  </si>
  <si>
    <t>Distribution Management: Channels and Platforms</t>
  </si>
  <si>
    <t>BMA5539</t>
  </si>
  <si>
    <t>Social Purpose Marketing</t>
  </si>
  <si>
    <t>BMA5701</t>
  </si>
  <si>
    <t>Independent Study Module</t>
  </si>
  <si>
    <t>BMA5801</t>
  </si>
  <si>
    <t>Launch Your Transformation</t>
  </si>
  <si>
    <t>BMA5802A</t>
  </si>
  <si>
    <t>MBA Survival Kit</t>
  </si>
  <si>
    <t>BMA5802B</t>
  </si>
  <si>
    <t>BMA5802C</t>
  </si>
  <si>
    <t>BMA5802D</t>
  </si>
  <si>
    <t>BMA5901</t>
  </si>
  <si>
    <t>MBA Consulting Project</t>
  </si>
  <si>
    <t>BMA5902</t>
  </si>
  <si>
    <t>Entrepreneurship Practicum</t>
  </si>
  <si>
    <t>BMA5903</t>
  </si>
  <si>
    <t>MBA Internship</t>
  </si>
  <si>
    <t>BMC5021</t>
  </si>
  <si>
    <t>Leadership: exploration, assessment &amp; development</t>
  </si>
  <si>
    <t>BMC5022</t>
  </si>
  <si>
    <t>Strategy</t>
  </si>
  <si>
    <t>BMC5023</t>
  </si>
  <si>
    <t>Business analytics and decision making</t>
  </si>
  <si>
    <t>BMC5024</t>
  </si>
  <si>
    <t>Asia and global economy</t>
  </si>
  <si>
    <t>BMC5025</t>
  </si>
  <si>
    <t>International business and internationalisation</t>
  </si>
  <si>
    <t>BMC5027</t>
  </si>
  <si>
    <t>Accounting and information management</t>
  </si>
  <si>
    <t>BMC5029</t>
  </si>
  <si>
    <t>Value chains, logistics and operations</t>
  </si>
  <si>
    <t>BMC5030</t>
  </si>
  <si>
    <t>Governance and sustainable business</t>
  </si>
  <si>
    <t>BMC5031</t>
  </si>
  <si>
    <t>Technology, innovation and entrepreneurship</t>
  </si>
  <si>
    <t>BMC5032</t>
  </si>
  <si>
    <t>Economic analysis for managers</t>
  </si>
  <si>
    <t>BMC5035A</t>
  </si>
  <si>
    <t>Special topics 2A</t>
  </si>
  <si>
    <t>BMC5035C</t>
  </si>
  <si>
    <t>Special topics 2C</t>
  </si>
  <si>
    <t>BMC5035D</t>
  </si>
  <si>
    <t>Special topics 2D</t>
  </si>
  <si>
    <t>BMC5035F</t>
  </si>
  <si>
    <t>Digital Transformation and Intelligent Management</t>
  </si>
  <si>
    <t>BMC5035G</t>
  </si>
  <si>
    <t>Current Topics in Economics and Finance</t>
  </si>
  <si>
    <t>BMC5035J</t>
  </si>
  <si>
    <t>Business innovation inspired by creative industry</t>
  </si>
  <si>
    <t>BMC5035K</t>
  </si>
  <si>
    <t>Negotiation Strategies and Skills</t>
  </si>
  <si>
    <t>BMC5035M</t>
  </si>
  <si>
    <t>Methodology and Practice</t>
  </si>
  <si>
    <t>BMC5036</t>
  </si>
  <si>
    <t>Corporate finance</t>
  </si>
  <si>
    <t>BMC5037</t>
  </si>
  <si>
    <t>Financial management and markets</t>
  </si>
  <si>
    <t>BMD5301</t>
  </si>
  <si>
    <t>Introduction to Finance for FinTech Professionals</t>
  </si>
  <si>
    <t>BME5041</t>
  </si>
  <si>
    <t>Value Chains, Logistics and Operations</t>
  </si>
  <si>
    <t>BME5042</t>
  </si>
  <si>
    <t>Accounting and Information Management</t>
  </si>
  <si>
    <t>BME5044</t>
  </si>
  <si>
    <t>Communications, Influence and Negotiations</t>
  </si>
  <si>
    <t>BME5048</t>
  </si>
  <si>
    <t>Managing Human Capital</t>
  </si>
  <si>
    <t>BME5050</t>
  </si>
  <si>
    <t>Asia and the Global Economy</t>
  </si>
  <si>
    <t>BME5051</t>
  </si>
  <si>
    <t>Economic Analysis for Managers</t>
  </si>
  <si>
    <t>BME5053</t>
  </si>
  <si>
    <t>International Business and Internationalisation</t>
  </si>
  <si>
    <t>BME5056A</t>
  </si>
  <si>
    <t>Special Topic 1A</t>
  </si>
  <si>
    <t>BME5056B</t>
  </si>
  <si>
    <t>Special Topic 1B</t>
  </si>
  <si>
    <t>BME5057A</t>
  </si>
  <si>
    <t>Special Topic 2A</t>
  </si>
  <si>
    <t>BME5057B</t>
  </si>
  <si>
    <t>Special Topic 2B</t>
  </si>
  <si>
    <t>BMF5321</t>
  </si>
  <si>
    <t>Financial Modelling</t>
  </si>
  <si>
    <t>BMF5322</t>
  </si>
  <si>
    <t>Introduction to Finance</t>
  </si>
  <si>
    <t>BMF5323</t>
  </si>
  <si>
    <t>Accounting for Finance Professionals</t>
  </si>
  <si>
    <t>BMF5324</t>
  </si>
  <si>
    <t>Statistics and Analytics in Finance</t>
  </si>
  <si>
    <t>BMF5342</t>
  </si>
  <si>
    <t>Technological Disruptions in Finance and Data Analytics</t>
  </si>
  <si>
    <t>BMF5343</t>
  </si>
  <si>
    <t>Banks and Non-Traditional Financial Intermediaries</t>
  </si>
  <si>
    <t>BMF5344</t>
  </si>
  <si>
    <t>Financial Statement Analysis and Value Investing</t>
  </si>
  <si>
    <t>BMF5346</t>
  </si>
  <si>
    <t>Venture Capital and Private Equity</t>
  </si>
  <si>
    <t>BMF5351</t>
  </si>
  <si>
    <t>Household Finance</t>
  </si>
  <si>
    <t>BMF5353</t>
  </si>
  <si>
    <t>Applied Investment Strategies</t>
  </si>
  <si>
    <t>BMF5354</t>
  </si>
  <si>
    <t>Financial Regulation in a Digital Age</t>
  </si>
  <si>
    <t>BMF5355</t>
  </si>
  <si>
    <t>Financial Systems and Technologies</t>
  </si>
  <si>
    <t>BMF5356</t>
  </si>
  <si>
    <t>Applied Financial Risk Management</t>
  </si>
  <si>
    <t>BMF5357</t>
  </si>
  <si>
    <t>Sustainable Investment</t>
  </si>
  <si>
    <t>BMF5358</t>
  </si>
  <si>
    <t>Entrepreneurship in Financial Technology</t>
  </si>
  <si>
    <t>BMF5359</t>
  </si>
  <si>
    <t>Valuation and Mergers &amp; Acquisitions</t>
  </si>
  <si>
    <t>BMF5391A</t>
  </si>
  <si>
    <t>Experiential Learning: Individual Internship</t>
  </si>
  <si>
    <t>BMF5391B</t>
  </si>
  <si>
    <t>Experiential Learning: Applied Team Project</t>
  </si>
  <si>
    <t>BMF5391C</t>
  </si>
  <si>
    <t>Experiential Learning: Applied Faculty Project</t>
  </si>
  <si>
    <t>BMF5393A</t>
  </si>
  <si>
    <t>Experiential Learning: Advanced Individual Internship</t>
  </si>
  <si>
    <t>BMG5101</t>
  </si>
  <si>
    <t>Foundational Corporate Finance</t>
  </si>
  <si>
    <t>BMG5102</t>
  </si>
  <si>
    <t>Foundational Investments</t>
  </si>
  <si>
    <t>BMG5103</t>
  </si>
  <si>
    <t>Corporate Governance and Sustainability</t>
  </si>
  <si>
    <t>BMG5104</t>
  </si>
  <si>
    <t>Economics of Sustainability</t>
  </si>
  <si>
    <t>BMH5102</t>
  </si>
  <si>
    <t>Talent Assessment &amp; Selection</t>
  </si>
  <si>
    <t>BMH5104</t>
  </si>
  <si>
    <t>Artificial Intelligence for HR</t>
  </si>
  <si>
    <t>BMH5107</t>
  </si>
  <si>
    <t>Leading and Managing Difficult Employees</t>
  </si>
  <si>
    <t>BMH5110</t>
  </si>
  <si>
    <t>Compensation and Performance Management</t>
  </si>
  <si>
    <t>BMH5111</t>
  </si>
  <si>
    <t>HR as Strategic Partner for Growth &amp; Transformation</t>
  </si>
  <si>
    <t>BMH5113</t>
  </si>
  <si>
    <t>Ethics in Human Resources</t>
  </si>
  <si>
    <t>BMI5101</t>
  </si>
  <si>
    <t>Advanced Biomedical Informatics</t>
  </si>
  <si>
    <t>Surgery</t>
  </si>
  <si>
    <t>BMI5102</t>
  </si>
  <si>
    <t>Health Sciences for Non-Clinicians</t>
  </si>
  <si>
    <t>BMI5207</t>
  </si>
  <si>
    <t>Medical Data and Data Processing</t>
  </si>
  <si>
    <t>BMI5306</t>
  </si>
  <si>
    <t>Advanced Agile Project Management</t>
  </si>
  <si>
    <t>BMK5100</t>
  </si>
  <si>
    <t>Marketing Analytics</t>
  </si>
  <si>
    <t>BMK5101</t>
  </si>
  <si>
    <t>Digital Marketing</t>
  </si>
  <si>
    <t>BMK5102</t>
  </si>
  <si>
    <t>Big Data in Marketing</t>
  </si>
  <si>
    <t>BMK5202</t>
  </si>
  <si>
    <t>Python Programming for Business Analytics</t>
  </si>
  <si>
    <t>BMK5203</t>
  </si>
  <si>
    <t>BMK5204</t>
  </si>
  <si>
    <t>Marketing Strategy</t>
  </si>
  <si>
    <t>BMK5206C</t>
  </si>
  <si>
    <t>Consumer Economics: Biases and Nudges</t>
  </si>
  <si>
    <t>BMK5300A</t>
  </si>
  <si>
    <t>Experiential Learning: Industry Internship</t>
  </si>
  <si>
    <t>BMK5300D</t>
  </si>
  <si>
    <t>Marketing Venture Challenge</t>
  </si>
  <si>
    <t>BMK6111S</t>
  </si>
  <si>
    <t>Empirical Marketing (I)</t>
  </si>
  <si>
    <t>Marketing</t>
  </si>
  <si>
    <t>BMO6018A</t>
  </si>
  <si>
    <t>Behavorial Ethics</t>
  </si>
  <si>
    <t>Management &amp; Organisation</t>
  </si>
  <si>
    <t>BMO6024</t>
  </si>
  <si>
    <t>Seminar in Human Resource Management</t>
  </si>
  <si>
    <t>BMS5105</t>
  </si>
  <si>
    <t>Big Data and Business Strategy</t>
  </si>
  <si>
    <t>BMS5110</t>
  </si>
  <si>
    <t>Managerial Economics</t>
  </si>
  <si>
    <t>BMS5112</t>
  </si>
  <si>
    <t>Global Strategic Management</t>
  </si>
  <si>
    <t>BMS5117</t>
  </si>
  <si>
    <t>Game Theory For Managers</t>
  </si>
  <si>
    <t>BMS5118</t>
  </si>
  <si>
    <t>Competing Globally</t>
  </si>
  <si>
    <t>BMS5119</t>
  </si>
  <si>
    <t>Asian Family Business</t>
  </si>
  <si>
    <t>BMS5123S</t>
  </si>
  <si>
    <t>Entrepreneurship Business Development</t>
  </si>
  <si>
    <t>BMS5205</t>
  </si>
  <si>
    <t>Business Analytics</t>
  </si>
  <si>
    <t>BMS5208</t>
  </si>
  <si>
    <t>Sustainable Supply Chains</t>
  </si>
  <si>
    <t>BMS5209</t>
  </si>
  <si>
    <t>Supply Chain Models and Strategies</t>
  </si>
  <si>
    <t>BMS5307</t>
  </si>
  <si>
    <t>Financial Markets and Institutions</t>
  </si>
  <si>
    <t>BMS5310</t>
  </si>
  <si>
    <t>Financial Management of Family Business</t>
  </si>
  <si>
    <t>BMS5405S</t>
  </si>
  <si>
    <t>New Venture Creation</t>
  </si>
  <si>
    <t>BMS5408</t>
  </si>
  <si>
    <t>Special Topics in Organizational Behavior</t>
  </si>
  <si>
    <t>BMS5410</t>
  </si>
  <si>
    <t>Negotiation and Conflict Management</t>
  </si>
  <si>
    <t>BMS5414</t>
  </si>
  <si>
    <t>Human Resources Analytics</t>
  </si>
  <si>
    <t>BMS5505</t>
  </si>
  <si>
    <t>BMS5513</t>
  </si>
  <si>
    <t>Product &amp; Brand Management</t>
  </si>
  <si>
    <t>BMS5515</t>
  </si>
  <si>
    <t>Personal Selling and Sales Management</t>
  </si>
  <si>
    <t>BMS5802</t>
  </si>
  <si>
    <t>Real Estate Finance</t>
  </si>
  <si>
    <t>BMS5900A</t>
  </si>
  <si>
    <t>Sustainability Thinking in Product and Service Design</t>
  </si>
  <si>
    <t>BMS5902</t>
  </si>
  <si>
    <t>BMT5100</t>
  </si>
  <si>
    <t>Preparing Financial Statements</t>
  </si>
  <si>
    <t>BMT5101</t>
  </si>
  <si>
    <t>Applied Data Science &amp; Vizualization</t>
  </si>
  <si>
    <t>BMT5102</t>
  </si>
  <si>
    <t>Corporate Valuation Models</t>
  </si>
  <si>
    <t>BMT5103</t>
  </si>
  <si>
    <t>Managerial Planning and Control</t>
  </si>
  <si>
    <t>BMT5301A</t>
  </si>
  <si>
    <t>BMT5400</t>
  </si>
  <si>
    <t>Integrated Perspectives Independent Study</t>
  </si>
  <si>
    <t>BMT5401</t>
  </si>
  <si>
    <t>Independent Study: Assurance and Attestation</t>
  </si>
  <si>
    <t>BMU5007</t>
  </si>
  <si>
    <t>CORPORATE FINANCE</t>
  </si>
  <si>
    <t>BMU5015</t>
  </si>
  <si>
    <t>COMPETITIVE STRATEGY &amp; BUSINESS POLICY</t>
  </si>
  <si>
    <t>BMU5018</t>
  </si>
  <si>
    <t>Entrepreneurship and New Venture Creation</t>
  </si>
  <si>
    <t>BN1111</t>
  </si>
  <si>
    <t>Biomedical Engineering Principles and Practice I</t>
  </si>
  <si>
    <t>Biomedical Engineering</t>
  </si>
  <si>
    <t>BN2001</t>
  </si>
  <si>
    <t>Independent Study</t>
  </si>
  <si>
    <t>BN2301</t>
  </si>
  <si>
    <t>Biochemistry and Biomaterials for Bioengineers</t>
  </si>
  <si>
    <t>BN2403</t>
  </si>
  <si>
    <t>Fundamentals of Biosignals and Bioinstrumentation</t>
  </si>
  <si>
    <t>BN3101</t>
  </si>
  <si>
    <t>Biomedical Engineering Design</t>
  </si>
  <si>
    <t>BN3202</t>
  </si>
  <si>
    <t>Musculoskeletal Biomechanics</t>
  </si>
  <si>
    <t>BN4101</t>
  </si>
  <si>
    <t>B.Eng. Dissertation</t>
  </si>
  <si>
    <t>BN4103</t>
  </si>
  <si>
    <t>Assistive Technology for Persons with Disability</t>
  </si>
  <si>
    <t>BN4301</t>
  </si>
  <si>
    <t>Principles Of Tissue Engineering</t>
  </si>
  <si>
    <t>BN4302</t>
  </si>
  <si>
    <t>Organs in a Dish: Organoid Bioengineering</t>
  </si>
  <si>
    <t>BN4403</t>
  </si>
  <si>
    <t>Cellular Bioengineering</t>
  </si>
  <si>
    <t>BN4501</t>
  </si>
  <si>
    <t>Engineering Biology</t>
  </si>
  <si>
    <t>BN4701</t>
  </si>
  <si>
    <t>Serious Games for Health</t>
  </si>
  <si>
    <t>BN5001</t>
  </si>
  <si>
    <t>Independent Research Project</t>
  </si>
  <si>
    <t>BN5101</t>
  </si>
  <si>
    <t>Biomedical Engineering Systems</t>
  </si>
  <si>
    <t>BN5104</t>
  </si>
  <si>
    <t>QUANTITATIVE PHYSIOLOGY PRINCIPLES IN BIOENGINEERING</t>
  </si>
  <si>
    <t>BN5208</t>
  </si>
  <si>
    <t>Biomedical Quality and Regulatory Systems</t>
  </si>
  <si>
    <t>BN5210</t>
  </si>
  <si>
    <t>BIOSENSORS AND BIOCHIPS</t>
  </si>
  <si>
    <t>BN5302</t>
  </si>
  <si>
    <t>BN5501</t>
  </si>
  <si>
    <t>The Biodesign Process of Innovation in Healthcare</t>
  </si>
  <si>
    <t>BN5511</t>
  </si>
  <si>
    <t>Introduction to Global Medical Device Regulation</t>
  </si>
  <si>
    <t>BN5512</t>
  </si>
  <si>
    <t>Medical Device Regulation in the US and EU</t>
  </si>
  <si>
    <t>BN5515</t>
  </si>
  <si>
    <t>Clinical Design and Evaluation of Medical Devices</t>
  </si>
  <si>
    <t>BN5516</t>
  </si>
  <si>
    <t>Medical Device Design, Development and Testing</t>
  </si>
  <si>
    <t>BN5666</t>
  </si>
  <si>
    <t>Industrial Attachment</t>
  </si>
  <si>
    <t>BN5999</t>
  </si>
  <si>
    <t>GRADUATE SEMINARS</t>
  </si>
  <si>
    <t>BN6999</t>
  </si>
  <si>
    <t>DOCTORAL SEMINARS</t>
  </si>
  <si>
    <t>BPM1701</t>
  </si>
  <si>
    <t>Calculus and Statistics</t>
  </si>
  <si>
    <t>Finance</t>
  </si>
  <si>
    <t>BPM1702</t>
  </si>
  <si>
    <t>Microsoft Excel and PowerPoint for Business</t>
  </si>
  <si>
    <t>BPM1705</t>
  </si>
  <si>
    <t>Understanding How Business Works</t>
  </si>
  <si>
    <t>BPS5000</t>
  </si>
  <si>
    <t>Built Environment</t>
  </si>
  <si>
    <t>BPS5111</t>
  </si>
  <si>
    <t>Integrated Building Design</t>
  </si>
  <si>
    <t>BPS5112</t>
  </si>
  <si>
    <t>Green Building Integration and Evaluation Studio</t>
  </si>
  <si>
    <t>BPS5221</t>
  </si>
  <si>
    <t>Microclimate Design</t>
  </si>
  <si>
    <t>BPS5223</t>
  </si>
  <si>
    <t>Building Energy Performance - Passive Systems</t>
  </si>
  <si>
    <t>BPS5224</t>
  </si>
  <si>
    <t>Building Energy Performance - Active Systems</t>
  </si>
  <si>
    <t>BPS5229</t>
  </si>
  <si>
    <t>Data Science for the Built Environment</t>
  </si>
  <si>
    <t>BPS5300</t>
  </si>
  <si>
    <t>Topics in Building Performance and Sustainability</t>
  </si>
  <si>
    <t>BRP6553</t>
  </si>
  <si>
    <t>Graduate Research Seminars</t>
  </si>
  <si>
    <t>BS5770</t>
  </si>
  <si>
    <t>BS6770</t>
  </si>
  <si>
    <t>BSE3701</t>
  </si>
  <si>
    <t>Macroeconomic Principles in the Global Economy</t>
  </si>
  <si>
    <t>BSE3702</t>
  </si>
  <si>
    <t>Economics of Strategy</t>
  </si>
  <si>
    <t>BSE3703</t>
  </si>
  <si>
    <t>Econometrics for Business I</t>
  </si>
  <si>
    <t>BSE3751</t>
  </si>
  <si>
    <t>Independent Study in Business Economics</t>
  </si>
  <si>
    <t>BSE3761</t>
  </si>
  <si>
    <t>Topics in Business Economics</t>
  </si>
  <si>
    <t>BSE4711</t>
  </si>
  <si>
    <t>Econometrics for Business II</t>
  </si>
  <si>
    <t>BSE4751</t>
  </si>
  <si>
    <t>Advanced Independent Study in Business Economics</t>
  </si>
  <si>
    <t>BSN3701</t>
  </si>
  <si>
    <t>Technological Innovation</t>
  </si>
  <si>
    <t>BSN3702</t>
  </si>
  <si>
    <t>BSN3703</t>
  </si>
  <si>
    <t>Entrepreneurial Strategy</t>
  </si>
  <si>
    <t>BSN3714</t>
  </si>
  <si>
    <t>Co-Creating Value (Tools for Collaborative Innovation)</t>
  </si>
  <si>
    <t>BSN3717</t>
  </si>
  <si>
    <t>Family Business</t>
  </si>
  <si>
    <t>BSN3751</t>
  </si>
  <si>
    <t>Independent Study in Innovation &amp; Entrepreneurship</t>
  </si>
  <si>
    <t>BSN4751</t>
  </si>
  <si>
    <t>Adv Independent Study in Innovation &amp; Entrepreneurship</t>
  </si>
  <si>
    <t>BSN4811</t>
  </si>
  <si>
    <t>Innovation and Productivity</t>
  </si>
  <si>
    <t>BSN4811A</t>
  </si>
  <si>
    <t>Innovation and Productivity (with Econometrics)</t>
  </si>
  <si>
    <t>BSP1702</t>
  </si>
  <si>
    <t>Legal Environment of Business</t>
  </si>
  <si>
    <t>BSP1702X</t>
  </si>
  <si>
    <t>BSP1703</t>
  </si>
  <si>
    <t>BSP2701</t>
  </si>
  <si>
    <t>Global Economy</t>
  </si>
  <si>
    <t>BSP3701A</t>
  </si>
  <si>
    <t>Strategic Management</t>
  </si>
  <si>
    <t>BSP3701B</t>
  </si>
  <si>
    <t>BSP3701C</t>
  </si>
  <si>
    <t>BSP3701D</t>
  </si>
  <si>
    <t>BSS4003B</t>
  </si>
  <si>
    <t>BT1101</t>
  </si>
  <si>
    <t>Introduction to Business Analytics</t>
  </si>
  <si>
    <t>School of Computing</t>
  </si>
  <si>
    <t>Info Systems and Analytics</t>
  </si>
  <si>
    <t>BT2101</t>
  </si>
  <si>
    <t>Econometrics Modeling for Business Analytics</t>
  </si>
  <si>
    <t>BT2102</t>
  </si>
  <si>
    <t>Data Management and Visualisation</t>
  </si>
  <si>
    <t>BT2103</t>
  </si>
  <si>
    <t>Optimization Methods in Business Analytics</t>
  </si>
  <si>
    <t>BT2201</t>
  </si>
  <si>
    <t>Business Concepts and Metrics for Analytics</t>
  </si>
  <si>
    <t>BT3102</t>
  </si>
  <si>
    <t>Computational Methods for Business Analytics</t>
  </si>
  <si>
    <t>BT3103</t>
  </si>
  <si>
    <t>Application Systems Development for Business Analytics</t>
  </si>
  <si>
    <t>BT4010</t>
  </si>
  <si>
    <t>Business Analytics Internship Programme</t>
  </si>
  <si>
    <t>BT4011</t>
  </si>
  <si>
    <t>Business Analytics Capstone Industry Project</t>
  </si>
  <si>
    <t>BT4012</t>
  </si>
  <si>
    <t>Fraud Analytics</t>
  </si>
  <si>
    <t>BT4013</t>
  </si>
  <si>
    <t>Analytics for Capital Market Trading and Investment</t>
  </si>
  <si>
    <t>BT4015</t>
  </si>
  <si>
    <t>Geospatial Analytics</t>
  </si>
  <si>
    <t>BT4101</t>
  </si>
  <si>
    <t>B.Sc. (Business Analytics) Dissertation</t>
  </si>
  <si>
    <t>BT4103</t>
  </si>
  <si>
    <t>Business Analytics Capstone Project</t>
  </si>
  <si>
    <t>BT4212</t>
  </si>
  <si>
    <t>Search Engine Optimization and Analytics</t>
  </si>
  <si>
    <t>BT4222</t>
  </si>
  <si>
    <t>Mining Web Data for Business Insights</t>
  </si>
  <si>
    <t>BT4240</t>
  </si>
  <si>
    <t>Machine Learning for Predictive Data Analytics</t>
  </si>
  <si>
    <t>BT4301</t>
  </si>
  <si>
    <t>Business Analytics Solutions Development and Deployment</t>
  </si>
  <si>
    <t>BT5110</t>
  </si>
  <si>
    <t>Data Management and Warehousing</t>
  </si>
  <si>
    <t>Computer Science</t>
  </si>
  <si>
    <t>BZD6010</t>
  </si>
  <si>
    <t>SEMINAR IN RESEARCH METHODOLOGY</t>
  </si>
  <si>
    <t>BZD6013</t>
  </si>
  <si>
    <t>Psychological Theories in Consumer Research</t>
  </si>
  <si>
    <t>CAH5101</t>
  </si>
  <si>
    <t>Care of the Newborn &amp; Common Paediatric Surgical Issues</t>
  </si>
  <si>
    <t>CAH5102</t>
  </si>
  <si>
    <t>Care of the Well Child</t>
  </si>
  <si>
    <t>CAH5103</t>
  </si>
  <si>
    <t>Acute Paediatrics</t>
  </si>
  <si>
    <t>CAS5101</t>
  </si>
  <si>
    <t>Theorizing from Asia</t>
  </si>
  <si>
    <t>Southeast Asian Studies</t>
  </si>
  <si>
    <t>CAS5660</t>
  </si>
  <si>
    <t>CAS6101</t>
  </si>
  <si>
    <t>Asian Studies in Asia</t>
  </si>
  <si>
    <t>CAS6660</t>
  </si>
  <si>
    <t>CDE2000</t>
  </si>
  <si>
    <t>Creating Narratives</t>
  </si>
  <si>
    <t>Industrial Design</t>
  </si>
  <si>
    <t>CDM5102</t>
  </si>
  <si>
    <t>Translational Cancer Research</t>
  </si>
  <si>
    <t>NUS Medicine Dean's Office</t>
  </si>
  <si>
    <t>CDM5103</t>
  </si>
  <si>
    <t>Advanced Topics in RNA Biology and Human Diseases</t>
  </si>
  <si>
    <t>CE1103</t>
  </si>
  <si>
    <t>Principles of Structural and Geotechnical Engineering</t>
  </si>
  <si>
    <t>Civil &amp; Environmental Eng</t>
  </si>
  <si>
    <t>CE2134</t>
  </si>
  <si>
    <t>Fluid Mechanics</t>
  </si>
  <si>
    <t>CE2183</t>
  </si>
  <si>
    <t>Construction Project Management</t>
  </si>
  <si>
    <t>CE2407A</t>
  </si>
  <si>
    <t>Uncertainty Analysis for Engineers</t>
  </si>
  <si>
    <t>CE3102</t>
  </si>
  <si>
    <t>Socio-economically sustainable developments</t>
  </si>
  <si>
    <t>CE3116</t>
  </si>
  <si>
    <t>Foundation Engineering</t>
  </si>
  <si>
    <t>CE3121</t>
  </si>
  <si>
    <t>Transportation Engineering</t>
  </si>
  <si>
    <t>CE3155A</t>
  </si>
  <si>
    <t>Structural Behaviour</t>
  </si>
  <si>
    <t>CE3155B</t>
  </si>
  <si>
    <t>Structural Modelling</t>
  </si>
  <si>
    <t>CE3165</t>
  </si>
  <si>
    <t>Structural Concrete Design</t>
  </si>
  <si>
    <t>CE3201</t>
  </si>
  <si>
    <t>Civil Engineering Analytics and Data Visualization</t>
  </si>
  <si>
    <t>CE3202</t>
  </si>
  <si>
    <t>Data Acquisition for Civil Engineering Applications</t>
  </si>
  <si>
    <t>CE4103</t>
  </si>
  <si>
    <t>Design Project</t>
  </si>
  <si>
    <t>CE4104</t>
  </si>
  <si>
    <t>B. Eng. Dissertation</t>
  </si>
  <si>
    <t>CE4221</t>
  </si>
  <si>
    <t>Design of Land Transport Infrastructures</t>
  </si>
  <si>
    <t>CE5001</t>
  </si>
  <si>
    <t>Research Project</t>
  </si>
  <si>
    <t>CE5010QA</t>
  </si>
  <si>
    <t>Finite Element Concepts &amp; Applications</t>
  </si>
  <si>
    <t>CE5010QB</t>
  </si>
  <si>
    <t>Finite Element Analysis for Civil Engineering</t>
  </si>
  <si>
    <t>CE5101</t>
  </si>
  <si>
    <t>Seepage &amp; Consolidation of Soils</t>
  </si>
  <si>
    <t>CE5104A</t>
  </si>
  <si>
    <t>Tunnelling in Soils</t>
  </si>
  <si>
    <t>CE5104B</t>
  </si>
  <si>
    <t>Tunnelling in Rocks</t>
  </si>
  <si>
    <t>CE5104QA</t>
  </si>
  <si>
    <t>CE5104QB</t>
  </si>
  <si>
    <t>CE5108A</t>
  </si>
  <si>
    <t>Key Principles and Concepts of Earth Retention Systems</t>
  </si>
  <si>
    <t>CE5108QA</t>
  </si>
  <si>
    <t>CE5108QB</t>
  </si>
  <si>
    <t>Deep Excavations Analysis and Modelling</t>
  </si>
  <si>
    <t>CE5111</t>
  </si>
  <si>
    <t>UNDERGROUND CONSTRUCTION DESIGN PROJECT</t>
  </si>
  <si>
    <t>CE5113A</t>
  </si>
  <si>
    <t>Geotechnical Site Investigation</t>
  </si>
  <si>
    <t>CE5113B</t>
  </si>
  <si>
    <t>Geophysical Methods &amp; Geotechnical Monitoring</t>
  </si>
  <si>
    <t>CE5113QA</t>
  </si>
  <si>
    <t>CE5113QB</t>
  </si>
  <si>
    <t>CE5205</t>
  </si>
  <si>
    <t>Transportation Planning</t>
  </si>
  <si>
    <t>CE5210</t>
  </si>
  <si>
    <t>Intelligent Transportation Systems and Simulation</t>
  </si>
  <si>
    <t>CE5312</t>
  </si>
  <si>
    <t>Open-channel Hydraulics</t>
  </si>
  <si>
    <t>CE5314</t>
  </si>
  <si>
    <t>HEWRM Project</t>
  </si>
  <si>
    <t>CE5315</t>
  </si>
  <si>
    <t>Climate Science for Engineers</t>
  </si>
  <si>
    <t>CE5316A</t>
  </si>
  <si>
    <t>Water Resources for Smart and Liveable Cities: Introduction</t>
  </si>
  <si>
    <t>CE5316B</t>
  </si>
  <si>
    <t>Water Resources Modeling for Urban Catchments</t>
  </si>
  <si>
    <t>CE5509B</t>
  </si>
  <si>
    <t>Design of Composite Steel and Concrete Structures</t>
  </si>
  <si>
    <t>CE5509QA</t>
  </si>
  <si>
    <t>Advanced Structural Steel Design</t>
  </si>
  <si>
    <t>CE5509QB</t>
  </si>
  <si>
    <t>CE5510QA</t>
  </si>
  <si>
    <t>Advanced Structural Concrete Design</t>
  </si>
  <si>
    <t>CE5510QB</t>
  </si>
  <si>
    <t>Rational Design of Structural Concrete Systems</t>
  </si>
  <si>
    <t>CE5610B</t>
  </si>
  <si>
    <t>Concrete Repair and Retrofitting of Structural Concrete</t>
  </si>
  <si>
    <t>CE5610QA</t>
  </si>
  <si>
    <t>Special Types of Concrete and Cementitious Material</t>
  </si>
  <si>
    <t>CE5610QB</t>
  </si>
  <si>
    <t>CE5666</t>
  </si>
  <si>
    <t>CE5720QA</t>
  </si>
  <si>
    <t>Offshore Geomechanics</t>
  </si>
  <si>
    <t>CE5720QB</t>
  </si>
  <si>
    <t>Offshore Foundation Systems</t>
  </si>
  <si>
    <t>CE5721QA</t>
  </si>
  <si>
    <t>Ocean Wind and Wave</t>
  </si>
  <si>
    <t>CE5721QB</t>
  </si>
  <si>
    <t>Ocean Environmental Loads</t>
  </si>
  <si>
    <t>CE5807A</t>
  </si>
  <si>
    <t>Digital Technologies for Construction</t>
  </si>
  <si>
    <t>CE5807B</t>
  </si>
  <si>
    <t>Integrated Construction Logistics</t>
  </si>
  <si>
    <t>CE5807QA</t>
  </si>
  <si>
    <t>CE5807QB</t>
  </si>
  <si>
    <t>CE5808A</t>
  </si>
  <si>
    <t>Virtual Design in BIM</t>
  </si>
  <si>
    <t>CE5808B</t>
  </si>
  <si>
    <t>Advanced Digital Construction</t>
  </si>
  <si>
    <t>CE5808QA</t>
  </si>
  <si>
    <t>CE5808QB</t>
  </si>
  <si>
    <t>CE5881</t>
  </si>
  <si>
    <t>TOPICS IN GEOTECHNICAL ENGINEERING: SOIL DYNAMICS</t>
  </si>
  <si>
    <t>CE5999</t>
  </si>
  <si>
    <t>CE6002</t>
  </si>
  <si>
    <t>ANALYSIS OF CIVIL ENGINEERING EXPERIMENTS</t>
  </si>
  <si>
    <t>CE6077A</t>
  </si>
  <si>
    <t>Numerical methods in Civil Engineering</t>
  </si>
  <si>
    <t>CE6077B</t>
  </si>
  <si>
    <t>Numerical Methods for Environmental Flows</t>
  </si>
  <si>
    <t>CE6077C</t>
  </si>
  <si>
    <t>Numerical Methods and Applications to Civil Engineering Mechanics</t>
  </si>
  <si>
    <t>CE6101</t>
  </si>
  <si>
    <t>GEOTECHNICAL CONSTITUTIVE MODELING</t>
  </si>
  <si>
    <t>CE6999</t>
  </si>
  <si>
    <t>CEG5001</t>
  </si>
  <si>
    <t>Computer Engineering Project (Minor) I</t>
  </si>
  <si>
    <t>Electrical &amp; Computer Eng</t>
  </si>
  <si>
    <t>CEG5002</t>
  </si>
  <si>
    <t>Computer Engineering Project (Minor) II</t>
  </si>
  <si>
    <t>CEG5003</t>
  </si>
  <si>
    <t>Computer Engineering Project</t>
  </si>
  <si>
    <t>CEG5101</t>
  </si>
  <si>
    <t>Modern Computer Networking</t>
  </si>
  <si>
    <t>CEG5104</t>
  </si>
  <si>
    <t>Cellular Networks</t>
  </si>
  <si>
    <t>CEG5201</t>
  </si>
  <si>
    <t>Hardware Technologies, Principles, &amp; Platforms</t>
  </si>
  <si>
    <t>CEG5205</t>
  </si>
  <si>
    <t>AI Sensors and Virtual/Augmented Reality Technologies</t>
  </si>
  <si>
    <t>CFG1002</t>
  </si>
  <si>
    <t>Career Catalyst</t>
  </si>
  <si>
    <t>NUS</t>
  </si>
  <si>
    <t>Office of Sr Dy Pres &amp; Provost</t>
  </si>
  <si>
    <t>CFG1003</t>
  </si>
  <si>
    <t>Financial Wellbeing-Introduction</t>
  </si>
  <si>
    <t>Centre for Future-ready Grads</t>
  </si>
  <si>
    <t>CFG2600A</t>
  </si>
  <si>
    <t>NUS Internship-as-a-Service</t>
  </si>
  <si>
    <t>CFG3001</t>
  </si>
  <si>
    <t>Career Advancement</t>
  </si>
  <si>
    <t>CG1111A</t>
  </si>
  <si>
    <t>Engineering Principles and Practice I</t>
  </si>
  <si>
    <t>Multi Disciplinary Programme</t>
  </si>
  <si>
    <t>Computing &amp; Eng Programme</t>
  </si>
  <si>
    <t>CG2027</t>
  </si>
  <si>
    <t>Transistor-level Digital Circuits</t>
  </si>
  <si>
    <t>CG2028</t>
  </si>
  <si>
    <t>Computer Organization</t>
  </si>
  <si>
    <t>CG3207</t>
  </si>
  <si>
    <t>Computer Architecture</t>
  </si>
  <si>
    <t>CG4001</t>
  </si>
  <si>
    <t>CG4002</t>
  </si>
  <si>
    <t>Computer Engineering Capstone Project</t>
  </si>
  <si>
    <t>CG4003</t>
  </si>
  <si>
    <t>Advanced Project and Internship</t>
  </si>
  <si>
    <t>CH1101E</t>
  </si>
  <si>
    <t>Retelling Chinese Stories: Change and Continuity</t>
  </si>
  <si>
    <t>Chinese Studies</t>
  </si>
  <si>
    <t>CH2141</t>
  </si>
  <si>
    <t>General History of China</t>
  </si>
  <si>
    <t>CH2161</t>
  </si>
  <si>
    <t>Traditional Chinese Taxonomy of Learning</t>
  </si>
  <si>
    <t>CH2162</t>
  </si>
  <si>
    <t>Reading Classical Chinese Texts</t>
  </si>
  <si>
    <t>CH2252</t>
  </si>
  <si>
    <t>History of Chinese Philosophy</t>
  </si>
  <si>
    <t>CH2293</t>
  </si>
  <si>
    <t>Introduction to Chinese Art (taught in English)</t>
  </si>
  <si>
    <t>CH2295</t>
  </si>
  <si>
    <t>Commerce and Culture in China's Past (in English)</t>
  </si>
  <si>
    <t>CH2391</t>
  </si>
  <si>
    <t>Strangers in Chinese Fiction and Film (in English)</t>
  </si>
  <si>
    <t>CH2392</t>
  </si>
  <si>
    <t>Chinese Women in Context (in English)</t>
  </si>
  <si>
    <t>CH3228</t>
  </si>
  <si>
    <t>Classical Poetry: Writing and Criticism</t>
  </si>
  <si>
    <t>CH3248</t>
  </si>
  <si>
    <t>Contemporary China: 1949 to Present</t>
  </si>
  <si>
    <t>CH4224</t>
  </si>
  <si>
    <t>Studies in Chinese Verse</t>
  </si>
  <si>
    <t>CH4226</t>
  </si>
  <si>
    <t>The City in Modern Chinese Literature</t>
  </si>
  <si>
    <t>CH4247</t>
  </si>
  <si>
    <t>Print Culture in Modern China</t>
  </si>
  <si>
    <t>CH4401</t>
  </si>
  <si>
    <t>Honours Thesis</t>
  </si>
  <si>
    <t>CH5211</t>
  </si>
  <si>
    <t>Seminar in Chinese Pragmatics</t>
  </si>
  <si>
    <t>CH5211R</t>
  </si>
  <si>
    <t>Seminar In Chinese Pragmatics</t>
  </si>
  <si>
    <t>CH5243</t>
  </si>
  <si>
    <t>Contemporary China-Southeast Asia Relations</t>
  </si>
  <si>
    <t>CH5243R</t>
  </si>
  <si>
    <t>CH5660</t>
  </si>
  <si>
    <t>INDEPENDENT STUDY</t>
  </si>
  <si>
    <t>CH6241</t>
  </si>
  <si>
    <t>TOPICS IN CHINESE HISTORY</t>
  </si>
  <si>
    <t>CH6248</t>
  </si>
  <si>
    <t>STUDIES IN SINO-S.E. ASIAN INTERACTIONS</t>
  </si>
  <si>
    <t>CH6770</t>
  </si>
  <si>
    <t>GRADUATE RESEARCH SEMINAR</t>
  </si>
  <si>
    <t>CHC5101</t>
  </si>
  <si>
    <t>Contemporary Research in Chinese Studies</t>
  </si>
  <si>
    <t>CHC5102</t>
  </si>
  <si>
    <t>Contemporary Research in Chinese Language</t>
  </si>
  <si>
    <t>CHC5301</t>
  </si>
  <si>
    <t>History and Civilizations of the Tang Empire</t>
  </si>
  <si>
    <t>CHC5303</t>
  </si>
  <si>
    <t>Traditional Chinese Culture in Singapore and Malaysia</t>
  </si>
  <si>
    <t>CHC5304</t>
  </si>
  <si>
    <t>Society and Culture of the Ming Dynasty</t>
  </si>
  <si>
    <t>CHC5308</t>
  </si>
  <si>
    <t>Chinese Kinship and Local Society</t>
  </si>
  <si>
    <t>CHC5310</t>
  </si>
  <si>
    <t>Chinese Rhapsody</t>
  </si>
  <si>
    <t>CHC5315</t>
  </si>
  <si>
    <t>NeoTaoism</t>
  </si>
  <si>
    <t>CHC5322</t>
  </si>
  <si>
    <t>Pragmatics and Politeness</t>
  </si>
  <si>
    <t>CHC5325</t>
  </si>
  <si>
    <t>Chinese Language Education and Research</t>
  </si>
  <si>
    <t>CHC5330</t>
  </si>
  <si>
    <t>Chinese Popular Culture: Transformation and Flows</t>
  </si>
  <si>
    <t>CHC5331</t>
  </si>
  <si>
    <t>Chinese Ceramics: From Tang to Qing</t>
  </si>
  <si>
    <t>CHC5332</t>
  </si>
  <si>
    <t>Oral History Methodology: Theory and Practice</t>
  </si>
  <si>
    <t>CHC5333</t>
  </si>
  <si>
    <t>Epidemics and Chinese Medicine</t>
  </si>
  <si>
    <t>CHC5334</t>
  </si>
  <si>
    <t>Life, Love, and Death in Classical Chinese Literature</t>
  </si>
  <si>
    <t>CHC5337</t>
  </si>
  <si>
    <t>Classical Chinese Landscape Poetry and Painting</t>
  </si>
  <si>
    <t>CL1101E</t>
  </si>
  <si>
    <t>Chinese Language: Its Past and Present</t>
  </si>
  <si>
    <t>CL2103</t>
  </si>
  <si>
    <t>Chinese Grammar</t>
  </si>
  <si>
    <t>CL2103S</t>
  </si>
  <si>
    <t>CL3201</t>
  </si>
  <si>
    <t>Communicating through Chinese Rhetoric and Metaphors</t>
  </si>
  <si>
    <t>CLC1101</t>
  </si>
  <si>
    <t>Engaging and Building Communities</t>
  </si>
  <si>
    <t>Chua Thian Poh Comm Leader Ctr</t>
  </si>
  <si>
    <t>CLC2201</t>
  </si>
  <si>
    <t>Community Development Practicum I</t>
  </si>
  <si>
    <t>CLC2202</t>
  </si>
  <si>
    <t>Research Methods for Community Development</t>
  </si>
  <si>
    <t>CLC2203</t>
  </si>
  <si>
    <t>CLC2204</t>
  </si>
  <si>
    <t>Community Development With Youth</t>
  </si>
  <si>
    <t>CLC3303</t>
  </si>
  <si>
    <t>Community Leadership</t>
  </si>
  <si>
    <t>CLC3304A</t>
  </si>
  <si>
    <t>City, Culture and Community</t>
  </si>
  <si>
    <t>CLC3307</t>
  </si>
  <si>
    <t>Literacy and Community Development</t>
  </si>
  <si>
    <t>CM1102</t>
  </si>
  <si>
    <t>Chemistry - The Central Science</t>
  </si>
  <si>
    <t>Chemistry</t>
  </si>
  <si>
    <t>CM1417</t>
  </si>
  <si>
    <t>Fundamentals of Chemistry</t>
  </si>
  <si>
    <t>CM2112</t>
  </si>
  <si>
    <t>Chemistry of Elements</t>
  </si>
  <si>
    <t>CM2122</t>
  </si>
  <si>
    <t>Organic Chemistry in Life and Medicine</t>
  </si>
  <si>
    <t>CM2133</t>
  </si>
  <si>
    <t>Foundations of Physical Chemistry</t>
  </si>
  <si>
    <t>CM2143</t>
  </si>
  <si>
    <t>Basic Toolkit of Analytical Chemistry</t>
  </si>
  <si>
    <t>CM2288</t>
  </si>
  <si>
    <t>Basic UROPS in Chemistry I</t>
  </si>
  <si>
    <t>CM2289</t>
  </si>
  <si>
    <t>Basic UROPS In Chemistry II</t>
  </si>
  <si>
    <t>CM3212</t>
  </si>
  <si>
    <t>Transition Metal Chemistry</t>
  </si>
  <si>
    <t>CM3221</t>
  </si>
  <si>
    <t>Organic Synthesis: The Disconnection Approach</t>
  </si>
  <si>
    <t>CM3242</t>
  </si>
  <si>
    <t>Instrumental Analysis II</t>
  </si>
  <si>
    <t>CM3252</t>
  </si>
  <si>
    <t>Polymer Chemistry 1</t>
  </si>
  <si>
    <t>CM3261</t>
  </si>
  <si>
    <t>Environmental Chemistry</t>
  </si>
  <si>
    <t>CM3267</t>
  </si>
  <si>
    <t>Computational Thinking and Programming in Chemistry</t>
  </si>
  <si>
    <t>CM3288</t>
  </si>
  <si>
    <t>Advanced UROPS in Chemistry I</t>
  </si>
  <si>
    <t>CM3289</t>
  </si>
  <si>
    <t>Advanced UROPS in Chemistry II</t>
  </si>
  <si>
    <t>CM3291</t>
  </si>
  <si>
    <t>Advanced Experiments In Organic &amp; Inorganic Chemistry</t>
  </si>
  <si>
    <t>CM3292</t>
  </si>
  <si>
    <t>Advanced Experiments In Analytical &amp; Physical Chemistry</t>
  </si>
  <si>
    <t>CM3312</t>
  </si>
  <si>
    <t>Enhanced Undergraduate Professional Internship Programme</t>
  </si>
  <si>
    <t>CM4199A</t>
  </si>
  <si>
    <t>Honours Project in Chemistry</t>
  </si>
  <si>
    <t>CM4225</t>
  </si>
  <si>
    <t>Organic Spectroscopy</t>
  </si>
  <si>
    <t>CM4227</t>
  </si>
  <si>
    <t>Chemical Biology</t>
  </si>
  <si>
    <t>CM4236</t>
  </si>
  <si>
    <t>Spectroscopy &amp; Imaging in Biophysical Chemistry</t>
  </si>
  <si>
    <t>CM4242</t>
  </si>
  <si>
    <t>Advanced Analytical Techniques</t>
  </si>
  <si>
    <t>CM4251</t>
  </si>
  <si>
    <t>Characterization Techniques in Materials Chemistry</t>
  </si>
  <si>
    <t>CM4253</t>
  </si>
  <si>
    <t>Materials Chemistry 2</t>
  </si>
  <si>
    <t>CM4254</t>
  </si>
  <si>
    <t>Chemistry of Semiconductors</t>
  </si>
  <si>
    <t>CM4274</t>
  </si>
  <si>
    <t>The Art and Methodology in Total Synthesis</t>
  </si>
  <si>
    <t>CM4299</t>
  </si>
  <si>
    <t>Applied Project in Chemistry</t>
  </si>
  <si>
    <t>CM5100</t>
  </si>
  <si>
    <t>M.SC. PROJECT</t>
  </si>
  <si>
    <t>CM5100A</t>
  </si>
  <si>
    <t>Advanced MSc Project</t>
  </si>
  <si>
    <t>CM5102</t>
  </si>
  <si>
    <t>Chemistry in Society</t>
  </si>
  <si>
    <t>CM5104</t>
  </si>
  <si>
    <t>Intellectual Property and Entrepreneurship in Chemical Sciences</t>
  </si>
  <si>
    <t>CM5151</t>
  </si>
  <si>
    <t>Energy Storage and Conversion Chemistry</t>
  </si>
  <si>
    <t>CM5161</t>
  </si>
  <si>
    <t>Advanced Chemical Laboratory Safety</t>
  </si>
  <si>
    <t>CM5198</t>
  </si>
  <si>
    <t>Graduate Seminar Module in Chemistry</t>
  </si>
  <si>
    <t>CM5199</t>
  </si>
  <si>
    <t>M.Sc. R&amp;D project</t>
  </si>
  <si>
    <t>CM5221</t>
  </si>
  <si>
    <t>ADVANCED ORGANIC SYNTHESIS</t>
  </si>
  <si>
    <t>CM5224</t>
  </si>
  <si>
    <t>Emerging Concepts in Drug Discovery</t>
  </si>
  <si>
    <t>CM5235</t>
  </si>
  <si>
    <t>Applied Computational Chemistry</t>
  </si>
  <si>
    <t>CM5237</t>
  </si>
  <si>
    <t>Advanced Optical Spectroscopy and Imaging</t>
  </si>
  <si>
    <t>CM5241</t>
  </si>
  <si>
    <t>Modern Analytical Techniques</t>
  </si>
  <si>
    <t>CM5268</t>
  </si>
  <si>
    <t>Advanced Organic Materials</t>
  </si>
  <si>
    <t>CN1101A</t>
  </si>
  <si>
    <t>Chemical Engineering Principles and Practice I</t>
  </si>
  <si>
    <t>Chemical &amp; Biomolecular Eng</t>
  </si>
  <si>
    <t>CN2103</t>
  </si>
  <si>
    <t>Mass and Energy Balance</t>
  </si>
  <si>
    <t>CN2104</t>
  </si>
  <si>
    <t>Chemical Engineering Thermodynamics</t>
  </si>
  <si>
    <t>CN2116</t>
  </si>
  <si>
    <t>Chemical Kinetics &amp; Reactor Design</t>
  </si>
  <si>
    <t>CN2122A</t>
  </si>
  <si>
    <t>CN2125</t>
  </si>
  <si>
    <t>Heat &amp; Mass Transfer</t>
  </si>
  <si>
    <t>CN3101</t>
  </si>
  <si>
    <t>Chemical Engineering Process Lab I</t>
  </si>
  <si>
    <t>CN3101A</t>
  </si>
  <si>
    <t>Chemical Engineering Process Lab</t>
  </si>
  <si>
    <t>CN3102</t>
  </si>
  <si>
    <t>Chemical Engineering Process Lab II</t>
  </si>
  <si>
    <t>CN3109</t>
  </si>
  <si>
    <t>Chemical Engineering Process Laboratory III</t>
  </si>
  <si>
    <t>CN3121</t>
  </si>
  <si>
    <t>Process Dynamics &amp; Control</t>
  </si>
  <si>
    <t>CN3124A</t>
  </si>
  <si>
    <t>Fluid-Particle Systems</t>
  </si>
  <si>
    <t>CN3132</t>
  </si>
  <si>
    <t>Separation Processes</t>
  </si>
  <si>
    <t>CN3135</t>
  </si>
  <si>
    <t>Process Safety, Health and Environment</t>
  </si>
  <si>
    <t>CN3421A</t>
  </si>
  <si>
    <t>Process Modeling And Numerical Simulation</t>
  </si>
  <si>
    <t>CN4118</t>
  </si>
  <si>
    <t>CN4118N</t>
  </si>
  <si>
    <t>Capstone Research Project</t>
  </si>
  <si>
    <t>CN4119E</t>
  </si>
  <si>
    <t>B.Tech. Dissertation</t>
  </si>
  <si>
    <t>School of Cont &amp; Lifelong Edun</t>
  </si>
  <si>
    <t>SCALE Dean's Office</t>
  </si>
  <si>
    <t>CN4122</t>
  </si>
  <si>
    <t>Process Synthesis and Simulation</t>
  </si>
  <si>
    <t>CN4122E</t>
  </si>
  <si>
    <t>CN4122N</t>
  </si>
  <si>
    <t>CN4203R</t>
  </si>
  <si>
    <t>Polymer Engineering</t>
  </si>
  <si>
    <t>CN4205R</t>
  </si>
  <si>
    <t>Pinch Analysis and Process Integration</t>
  </si>
  <si>
    <t>CN4208E</t>
  </si>
  <si>
    <t>Biochemical Engineering</t>
  </si>
  <si>
    <t>CN4215R</t>
  </si>
  <si>
    <t>Food Technology and Engineering</t>
  </si>
  <si>
    <t>CN4218</t>
  </si>
  <si>
    <t>Particle Technology Fundamentals and Applications</t>
  </si>
  <si>
    <t>CN4233R</t>
  </si>
  <si>
    <t>Good Manufacturing Practices in Pharmaceutical Industry</t>
  </si>
  <si>
    <t>CN4238R</t>
  </si>
  <si>
    <t>Chemical &amp; Biochemical Process Modeling</t>
  </si>
  <si>
    <t>CN4240R</t>
  </si>
  <si>
    <t>Unit Operations and Processes for Effluent Treatment</t>
  </si>
  <si>
    <t>CN4246E</t>
  </si>
  <si>
    <t>Chemical And Bio-Catalysis</t>
  </si>
  <si>
    <t>CN5010</t>
  </si>
  <si>
    <t>Mathematical &amp; Computing Methods for Chemical Engineers</t>
  </si>
  <si>
    <t>CN5160</t>
  </si>
  <si>
    <t>Advanced Topics in Catalysis</t>
  </si>
  <si>
    <t>CN5162</t>
  </si>
  <si>
    <t>ADVANCED POLYMERIC MATERIALS</t>
  </si>
  <si>
    <t>CN5173</t>
  </si>
  <si>
    <t>DOWNSTREAM PROCESSING OF BIOCHEMICAL &amp; PHARMACEUTICAL PRODUCTS</t>
  </si>
  <si>
    <t>CN5190</t>
  </si>
  <si>
    <t>Hydrogen Energy and Technology</t>
  </si>
  <si>
    <t>CN5191</t>
  </si>
  <si>
    <t>Project Engineering</t>
  </si>
  <si>
    <t>CN5192</t>
  </si>
  <si>
    <t>Future Fuel Options: Prospects and Technologies</t>
  </si>
  <si>
    <t>CN5216</t>
  </si>
  <si>
    <t>Electronic Materials and Energy Technologies</t>
  </si>
  <si>
    <t>CN5246</t>
  </si>
  <si>
    <t>Catalysis Science and Engineering</t>
  </si>
  <si>
    <t>CN5251</t>
  </si>
  <si>
    <t>Membrane Science &amp; Technology</t>
  </si>
  <si>
    <t>CN5432</t>
  </si>
  <si>
    <t>Fundamentals and Applications of Porous Materials</t>
  </si>
  <si>
    <t>CN5550</t>
  </si>
  <si>
    <t>Energy Systems Project</t>
  </si>
  <si>
    <t>CN5555</t>
  </si>
  <si>
    <t>Chemical Engineering Project</t>
  </si>
  <si>
    <t>CN5666</t>
  </si>
  <si>
    <t>CN5999</t>
  </si>
  <si>
    <t>CN6251</t>
  </si>
  <si>
    <t>MEMBRANE SCIENCE &amp; TECHNOLOGY</t>
  </si>
  <si>
    <t>CN6999</t>
  </si>
  <si>
    <t>COS1000</t>
  </si>
  <si>
    <t>Computational Thinking for Scientists</t>
  </si>
  <si>
    <t>Physics</t>
  </si>
  <si>
    <t>CP2106</t>
  </si>
  <si>
    <t>Independent Software Development Project (Orbital)</t>
  </si>
  <si>
    <t>SoC Dean's Office</t>
  </si>
  <si>
    <t>CP3106</t>
  </si>
  <si>
    <t>Independent Project</t>
  </si>
  <si>
    <t>CP3107</t>
  </si>
  <si>
    <t>Computing for Voluntary Welfare Organisations</t>
  </si>
  <si>
    <t>CP3108A</t>
  </si>
  <si>
    <t>Independent Work</t>
  </si>
  <si>
    <t>CP3108B</t>
  </si>
  <si>
    <t>CP3201</t>
  </si>
  <si>
    <t>Industry Seminar</t>
  </si>
  <si>
    <t>CP3208</t>
  </si>
  <si>
    <t>Undergraduate Research in Computing I</t>
  </si>
  <si>
    <t>CP3209</t>
  </si>
  <si>
    <t>Undergraduate Research Project in Computing</t>
  </si>
  <si>
    <t>CP3880</t>
  </si>
  <si>
    <t>Advanced Technology Attachment Programme</t>
  </si>
  <si>
    <t>CP4101</t>
  </si>
  <si>
    <t>B.Comp. Dissertation</t>
  </si>
  <si>
    <t>CP4106</t>
  </si>
  <si>
    <t>Computing Project</t>
  </si>
  <si>
    <t>CP5010</t>
  </si>
  <si>
    <t>Graduate Research Paper</t>
  </si>
  <si>
    <t>CP5101</t>
  </si>
  <si>
    <t>MComp Dissertation</t>
  </si>
  <si>
    <t>CP5102</t>
  </si>
  <si>
    <t>MComp Information Security Project</t>
  </si>
  <si>
    <t>CP5103</t>
  </si>
  <si>
    <t>Master of Computing Project</t>
  </si>
  <si>
    <t>CP5104</t>
  </si>
  <si>
    <t>Graduate Project in Computing</t>
  </si>
  <si>
    <t>CP5105</t>
  </si>
  <si>
    <t>Computing Capstone Project</t>
  </si>
  <si>
    <t>CP6010</t>
  </si>
  <si>
    <t>Doctoral Seminar</t>
  </si>
  <si>
    <t>CS1010</t>
  </si>
  <si>
    <t>Programming Methodology</t>
  </si>
  <si>
    <t>CS1010E</t>
  </si>
  <si>
    <t>CS1010J</t>
  </si>
  <si>
    <t>CS1010R</t>
  </si>
  <si>
    <t>CS1010S</t>
  </si>
  <si>
    <t>CS1101S</t>
  </si>
  <si>
    <t>CS1231</t>
  </si>
  <si>
    <t>Discrete Structures</t>
  </si>
  <si>
    <t>CS1231S</t>
  </si>
  <si>
    <t>CS2030</t>
  </si>
  <si>
    <t>Programming Methodology II</t>
  </si>
  <si>
    <t>CS2030S</t>
  </si>
  <si>
    <t>CS2040</t>
  </si>
  <si>
    <t>Data Structures and Algorithms</t>
  </si>
  <si>
    <t>CS2040C</t>
  </si>
  <si>
    <t>CS2040S</t>
  </si>
  <si>
    <t>CS2100</t>
  </si>
  <si>
    <t>Computer Organisation</t>
  </si>
  <si>
    <t>CS2101</t>
  </si>
  <si>
    <t>Effective Communication for Computing Professionals</t>
  </si>
  <si>
    <t>Ctr for Engl Lang Comms</t>
  </si>
  <si>
    <t>CS2102</t>
  </si>
  <si>
    <t>Database Systems</t>
  </si>
  <si>
    <t>CS2103</t>
  </si>
  <si>
    <t>Software Engineering</t>
  </si>
  <si>
    <t>CS2103R</t>
  </si>
  <si>
    <t>CS2103T</t>
  </si>
  <si>
    <t>CS2104</t>
  </si>
  <si>
    <t>Programming Language Concepts</t>
  </si>
  <si>
    <t>CS2105</t>
  </si>
  <si>
    <t>Introduction to Computer Networks</t>
  </si>
  <si>
    <t>CS2106</t>
  </si>
  <si>
    <t>Introduction to Operating Systems</t>
  </si>
  <si>
    <t>CS2107</t>
  </si>
  <si>
    <t>Introduction to Information Security</t>
  </si>
  <si>
    <t>CS2109S</t>
  </si>
  <si>
    <t>Introduction to AI and Machine Learning</t>
  </si>
  <si>
    <t>CS2113</t>
  </si>
  <si>
    <t>Software Engineering &amp; Object-Oriented Programming</t>
  </si>
  <si>
    <t>CS2113T</t>
  </si>
  <si>
    <t>CS2220</t>
  </si>
  <si>
    <t>Introduction to Computational Biology</t>
  </si>
  <si>
    <t>CS2309</t>
  </si>
  <si>
    <t>CS Research Methodology</t>
  </si>
  <si>
    <t>CS3103</t>
  </si>
  <si>
    <t>Computer Networks Practice</t>
  </si>
  <si>
    <t>CS3203</t>
  </si>
  <si>
    <t>Software Engineering Project</t>
  </si>
  <si>
    <t>CS3210</t>
  </si>
  <si>
    <t>Parallel Computing</t>
  </si>
  <si>
    <t>CS3216</t>
  </si>
  <si>
    <t>Software Product Engineering for Digital Markets</t>
  </si>
  <si>
    <t>CS3219</t>
  </si>
  <si>
    <t>Software Engineering Principles and Patterns</t>
  </si>
  <si>
    <t>CS3230</t>
  </si>
  <si>
    <t>Design and Analysis of Algorithms</t>
  </si>
  <si>
    <t>CS3230R</t>
  </si>
  <si>
    <t>CS3231</t>
  </si>
  <si>
    <t>Theory of Computation</t>
  </si>
  <si>
    <t>CS3235</t>
  </si>
  <si>
    <t>Computer Security</t>
  </si>
  <si>
    <t>CS3236R</t>
  </si>
  <si>
    <t>Introduction to Information Theory</t>
  </si>
  <si>
    <t>CS3237</t>
  </si>
  <si>
    <t>Introduction to Internet of Things</t>
  </si>
  <si>
    <t>CS3240</t>
  </si>
  <si>
    <t>Interaction Design</t>
  </si>
  <si>
    <t>CS3241</t>
  </si>
  <si>
    <t>Computer Graphics</t>
  </si>
  <si>
    <t>CS3241R</t>
  </si>
  <si>
    <t>CS3243</t>
  </si>
  <si>
    <t>Introduction to Artificial Intelligence</t>
  </si>
  <si>
    <t>CS3244</t>
  </si>
  <si>
    <t>Machine Learning</t>
  </si>
  <si>
    <t>CS3245R</t>
  </si>
  <si>
    <t>Information Retrieval</t>
  </si>
  <si>
    <t>CS4211</t>
  </si>
  <si>
    <t>Formal Methods for Software Engineering</t>
  </si>
  <si>
    <t>CS4212</t>
  </si>
  <si>
    <t>Compiler Design</t>
  </si>
  <si>
    <t>CS4223</t>
  </si>
  <si>
    <t>Multi-core Architectures</t>
  </si>
  <si>
    <t>CS4224</t>
  </si>
  <si>
    <t>Distributed Databases</t>
  </si>
  <si>
    <t>CS4225</t>
  </si>
  <si>
    <t>Big Data Systems for Data Science</t>
  </si>
  <si>
    <t>CS4226</t>
  </si>
  <si>
    <t>Internet Architecture</t>
  </si>
  <si>
    <t>CS4234</t>
  </si>
  <si>
    <t>Optimisation Algorithms</t>
  </si>
  <si>
    <t>CS4236</t>
  </si>
  <si>
    <t>Cryptography Theory and Practice</t>
  </si>
  <si>
    <t>CS4239</t>
  </si>
  <si>
    <t>Software Security</t>
  </si>
  <si>
    <t>CS4243</t>
  </si>
  <si>
    <t>Computer Vision and Pattern Recognition</t>
  </si>
  <si>
    <t>CS4246</t>
  </si>
  <si>
    <t>AI Planning and Decision Making</t>
  </si>
  <si>
    <t>CS4248</t>
  </si>
  <si>
    <t>Natural Language Processing</t>
  </si>
  <si>
    <t>CS4261</t>
  </si>
  <si>
    <t>Algorithmic Mechanism Design</t>
  </si>
  <si>
    <t>CS4347</t>
  </si>
  <si>
    <t>Sound and Music Computing</t>
  </si>
  <si>
    <t>CS4350</t>
  </si>
  <si>
    <t>Game Development Project</t>
  </si>
  <si>
    <t>CS5219</t>
  </si>
  <si>
    <t>Automated Software Validation</t>
  </si>
  <si>
    <t>CS5223</t>
  </si>
  <si>
    <t>Distributed Systems</t>
  </si>
  <si>
    <t>CS5228</t>
  </si>
  <si>
    <t>Knowledge Discovery and Data Mining</t>
  </si>
  <si>
    <t>CS5229</t>
  </si>
  <si>
    <t>Advanced Computer Networks</t>
  </si>
  <si>
    <t>CS5231</t>
  </si>
  <si>
    <t>Systems Security</t>
  </si>
  <si>
    <t>CS5234</t>
  </si>
  <si>
    <t>Algorithms at Scale</t>
  </si>
  <si>
    <t>CS5236</t>
  </si>
  <si>
    <t>Advanced Automata Theory</t>
  </si>
  <si>
    <t>CS5238</t>
  </si>
  <si>
    <t>Advanced Combinatorial Methods in Bioinformatics</t>
  </si>
  <si>
    <t>CS5239</t>
  </si>
  <si>
    <t>Computer System Performance Analysis</t>
  </si>
  <si>
    <t>CS5240</t>
  </si>
  <si>
    <t>Theoretical Foundations in MultiMedia</t>
  </si>
  <si>
    <t>CS5242</t>
  </si>
  <si>
    <t>Neural Networks and Deep Learning</t>
  </si>
  <si>
    <t>CS5322</t>
  </si>
  <si>
    <t>Database Security</t>
  </si>
  <si>
    <t>CS5340</t>
  </si>
  <si>
    <t>Uncertainty Modelling in AI</t>
  </si>
  <si>
    <t>CS5344</t>
  </si>
  <si>
    <t>Big-Data Analytics Technology</t>
  </si>
  <si>
    <t>CS5424</t>
  </si>
  <si>
    <t>CS5425</t>
  </si>
  <si>
    <t>CS5439</t>
  </si>
  <si>
    <t>CS5446</t>
  </si>
  <si>
    <t>CS5461</t>
  </si>
  <si>
    <t>CS5562</t>
  </si>
  <si>
    <t>Trustworthy Machine Learning</t>
  </si>
  <si>
    <t>CS5647</t>
  </si>
  <si>
    <t>CS6101</t>
  </si>
  <si>
    <t>Exploration of Computer Science Research</t>
  </si>
  <si>
    <t>CS6203</t>
  </si>
  <si>
    <t>Advanced Topics in Database Systems</t>
  </si>
  <si>
    <t>CS6204</t>
  </si>
  <si>
    <t>Advanced Topics in Networking</t>
  </si>
  <si>
    <t>CS6216</t>
  </si>
  <si>
    <t>Advanced Topics in Machine Learning</t>
  </si>
  <si>
    <t>CS6217</t>
  </si>
  <si>
    <t>Topics in Prog. Languages &amp; Software Engineering</t>
  </si>
  <si>
    <t>CS6218</t>
  </si>
  <si>
    <t>Principles of Prog. Languages &amp; Software Engineering</t>
  </si>
  <si>
    <t>CS6219</t>
  </si>
  <si>
    <t>Advanced Topics in Computer Systems</t>
  </si>
  <si>
    <t>CS6222</t>
  </si>
  <si>
    <t>Advanced Topics in Computational Biology</t>
  </si>
  <si>
    <t>CS6231</t>
  </si>
  <si>
    <t>Advanced Topics in Security and Privacy</t>
  </si>
  <si>
    <t>CS6234</t>
  </si>
  <si>
    <t>Advanced Algorithms</t>
  </si>
  <si>
    <t>CS6284</t>
  </si>
  <si>
    <t>Topics in Computer Science: Advanced Topics in Reinforcement Learning</t>
  </si>
  <si>
    <t>DAO1704</t>
  </si>
  <si>
    <t>Decision Analytics using Spreadsheets</t>
  </si>
  <si>
    <t>DAO1704X</t>
  </si>
  <si>
    <t>DAO2702</t>
  </si>
  <si>
    <t>Programming for Business Analytics</t>
  </si>
  <si>
    <t>DAO2703</t>
  </si>
  <si>
    <t>Operations and Technology Management</t>
  </si>
  <si>
    <t>DBA3701</t>
  </si>
  <si>
    <t>Introduction to Optimization</t>
  </si>
  <si>
    <t>DBA3702</t>
  </si>
  <si>
    <t>Descriptive Analytics with R</t>
  </si>
  <si>
    <t>DBA3711</t>
  </si>
  <si>
    <t>Stochastic Models in Management</t>
  </si>
  <si>
    <t>DBA3713</t>
  </si>
  <si>
    <t>Analytics for Risk Management</t>
  </si>
  <si>
    <t>DBA3751</t>
  </si>
  <si>
    <t>Independent Study in Business Analytics</t>
  </si>
  <si>
    <t>DBA3803</t>
  </si>
  <si>
    <t>Predictive Analytics in Business</t>
  </si>
  <si>
    <t>DBA4712</t>
  </si>
  <si>
    <t>Causal Analytics for Managerial Decisions</t>
  </si>
  <si>
    <t>DBA4751</t>
  </si>
  <si>
    <t>Advanced Independent Study in Business Analytics</t>
  </si>
  <si>
    <t>DBA4761A</t>
  </si>
  <si>
    <t>Sem in Analytics: Tidyverse Principles And Tidymodels</t>
  </si>
  <si>
    <t>DBA4811</t>
  </si>
  <si>
    <t>Analytical Tools for Consulting</t>
  </si>
  <si>
    <t>DBA4813</t>
  </si>
  <si>
    <t>AI Strategies in Business</t>
  </si>
  <si>
    <t>DBA5101</t>
  </si>
  <si>
    <t>DBA5102</t>
  </si>
  <si>
    <t>DBA5103</t>
  </si>
  <si>
    <t>Operations Research and Analytics</t>
  </si>
  <si>
    <t>DBA5106</t>
  </si>
  <si>
    <t>Foundation in Business Analytics</t>
  </si>
  <si>
    <t>DE5106</t>
  </si>
  <si>
    <t>Environmental Management And Assessment</t>
  </si>
  <si>
    <t>DE5108</t>
  </si>
  <si>
    <t>STUDY REPORT</t>
  </si>
  <si>
    <t>DE5109</t>
  </si>
  <si>
    <t>DISSERTATION</t>
  </si>
  <si>
    <t>DE5269</t>
  </si>
  <si>
    <t>Environmental Economics and Sustainable Development</t>
  </si>
  <si>
    <t>DEP5101</t>
  </si>
  <si>
    <t>Urban Analysis Workshop</t>
  </si>
  <si>
    <t>DEP5101A</t>
  </si>
  <si>
    <t>Qualitative Methods for Urban Planning</t>
  </si>
  <si>
    <t>DEP5103</t>
  </si>
  <si>
    <t>Urban and Regional Planning</t>
  </si>
  <si>
    <t>DEP5104</t>
  </si>
  <si>
    <t>Urban and Regional Economics</t>
  </si>
  <si>
    <t>DEP5105</t>
  </si>
  <si>
    <t>Urban Infrastructure and Mobility Systems</t>
  </si>
  <si>
    <t>DEP5108</t>
  </si>
  <si>
    <t>MUP Internship Module</t>
  </si>
  <si>
    <t>DEP5110</t>
  </si>
  <si>
    <t>Urban Design and Planning</t>
  </si>
  <si>
    <t>DEP5112</t>
  </si>
  <si>
    <t>Planning Policy and Process</t>
  </si>
  <si>
    <t>DEP5114</t>
  </si>
  <si>
    <t>Advanced GIS for Urban Planning</t>
  </si>
  <si>
    <t>DI5100</t>
  </si>
  <si>
    <t>Dental Implantology</t>
  </si>
  <si>
    <t>Faculty of Dentistry</t>
  </si>
  <si>
    <t>FoD Dean's Office</t>
  </si>
  <si>
    <t>DI5200</t>
  </si>
  <si>
    <t>Graduate Diploma in Geriatric Dentistry</t>
  </si>
  <si>
    <t>DL5102</t>
  </si>
  <si>
    <t>Digital Agility and Change Leadership</t>
  </si>
  <si>
    <t>Institute of Systems Science</t>
  </si>
  <si>
    <t>DL5107</t>
  </si>
  <si>
    <t>Digital Leadership Capstone Project</t>
  </si>
  <si>
    <t>DL5202</t>
  </si>
  <si>
    <t>Digital Business Strategy</t>
  </si>
  <si>
    <t>DL5301</t>
  </si>
  <si>
    <t>Talent and Leadership Pathways</t>
  </si>
  <si>
    <t>DL5303</t>
  </si>
  <si>
    <t>Digital Governance</t>
  </si>
  <si>
    <t>DMA1401L01</t>
  </si>
  <si>
    <t>Design Your Own Module</t>
  </si>
  <si>
    <t>Centre for Language Studies</t>
  </si>
  <si>
    <t>DMA1401PH</t>
  </si>
  <si>
    <t>Philosophy</t>
  </si>
  <si>
    <t>DMB1201BSP</t>
  </si>
  <si>
    <t>DMB1201DAO</t>
  </si>
  <si>
    <t>DMB1201DO</t>
  </si>
  <si>
    <t>DMB1201FIN</t>
  </si>
  <si>
    <t>DMB1201MKT</t>
  </si>
  <si>
    <t>DMB1201MNO</t>
  </si>
  <si>
    <t>DMB1202ACC</t>
  </si>
  <si>
    <t>DMB1202BSP</t>
  </si>
  <si>
    <t>DMB1202DAO</t>
  </si>
  <si>
    <t>DMB1202DO</t>
  </si>
  <si>
    <t>DMB1202FIN</t>
  </si>
  <si>
    <t>DMB1202MKT</t>
  </si>
  <si>
    <t>DMB1202MNO</t>
  </si>
  <si>
    <t>DMC1401</t>
  </si>
  <si>
    <t>DMC1401CS</t>
  </si>
  <si>
    <t>DMC1401IS</t>
  </si>
  <si>
    <t>DMR1201GEQA</t>
  </si>
  <si>
    <t>Residential College</t>
  </si>
  <si>
    <t>Ridge View Residential College</t>
  </si>
  <si>
    <t>DMS1401CM</t>
  </si>
  <si>
    <t>DMS1401SP</t>
  </si>
  <si>
    <t>FoS Dean's Office</t>
  </si>
  <si>
    <t>DMX1101</t>
  </si>
  <si>
    <t>DYOM via edX MOOC</t>
  </si>
  <si>
    <t>DMX1101AI</t>
  </si>
  <si>
    <t>DMX1101CT</t>
  </si>
  <si>
    <t>DMX1102</t>
  </si>
  <si>
    <t>DMX1103</t>
  </si>
  <si>
    <t>DMX1104</t>
  </si>
  <si>
    <t>DMX1105</t>
  </si>
  <si>
    <t>DMX1106</t>
  </si>
  <si>
    <t>DMX1107</t>
  </si>
  <si>
    <t>DMX1108</t>
  </si>
  <si>
    <t>DMX1201</t>
  </si>
  <si>
    <t>DMX1201AI</t>
  </si>
  <si>
    <t>DMX1201CT</t>
  </si>
  <si>
    <t>DMX1202</t>
  </si>
  <si>
    <t>DMX1203</t>
  </si>
  <si>
    <t>DMX1204</t>
  </si>
  <si>
    <t>DMX1301</t>
  </si>
  <si>
    <t>DMX1301AI</t>
  </si>
  <si>
    <t>DMX1301CT</t>
  </si>
  <si>
    <t>DMX1302</t>
  </si>
  <si>
    <t>DMX1401</t>
  </si>
  <si>
    <t>DMX1401AI</t>
  </si>
  <si>
    <t>DMX1401CT</t>
  </si>
  <si>
    <t>DMX1402</t>
  </si>
  <si>
    <t>DMX1501</t>
  </si>
  <si>
    <t>DMX1501AI</t>
  </si>
  <si>
    <t>DMX1501CT</t>
  </si>
  <si>
    <t>DMX1601</t>
  </si>
  <si>
    <t>DMX1701</t>
  </si>
  <si>
    <t>DMX1801</t>
  </si>
  <si>
    <t>DMY1201RF</t>
  </si>
  <si>
    <t>Raffles Hall</t>
  </si>
  <si>
    <t>DMY1401EH</t>
  </si>
  <si>
    <t>Eusoff Hall</t>
  </si>
  <si>
    <t>DMY1401ELC</t>
  </si>
  <si>
    <t>Office of Student Affairs</t>
  </si>
  <si>
    <t>DMY1401FA</t>
  </si>
  <si>
    <t>NUS Centre for the Arts</t>
  </si>
  <si>
    <t>DMY1401HL</t>
  </si>
  <si>
    <t>DMY1401LED</t>
  </si>
  <si>
    <t>DMY1401PGP</t>
  </si>
  <si>
    <t>Pioneer House</t>
  </si>
  <si>
    <t>DMY1401PSP</t>
  </si>
  <si>
    <t>DMY1401RF</t>
  </si>
  <si>
    <t>DMY1401SOG</t>
  </si>
  <si>
    <t>DMY1401TSG</t>
  </si>
  <si>
    <t>DMY1401TT</t>
  </si>
  <si>
    <t>NUS Information Technology</t>
  </si>
  <si>
    <t>DOS3701</t>
  </si>
  <si>
    <t>Supply Chain Management</t>
  </si>
  <si>
    <t>DOS3702</t>
  </si>
  <si>
    <t>Procurement Management</t>
  </si>
  <si>
    <t>DOS3703</t>
  </si>
  <si>
    <t>Service Operations Management</t>
  </si>
  <si>
    <t>DOS3704</t>
  </si>
  <si>
    <t>Operations Strategy</t>
  </si>
  <si>
    <t>DOS3712</t>
  </si>
  <si>
    <t>Physical Distribution Management</t>
  </si>
  <si>
    <t>DOS3714</t>
  </si>
  <si>
    <t>Sustainable Operations Management</t>
  </si>
  <si>
    <t>DOS3751</t>
  </si>
  <si>
    <t>Independent Study in Ops &amp; Supply Chain Management</t>
  </si>
  <si>
    <t>DOS3752</t>
  </si>
  <si>
    <t>Independent Study in Ops &amp; Supply Chain Management (2 MC)</t>
  </si>
  <si>
    <t>DOS4712</t>
  </si>
  <si>
    <t>Co-ordination and Flexibility in SCM</t>
  </si>
  <si>
    <t>DOS4751</t>
  </si>
  <si>
    <t>Advanced Independent Study in Ops &amp; Supply Chain Mgt</t>
  </si>
  <si>
    <t>DOS4752</t>
  </si>
  <si>
    <t>Advanced Independent Study in Ops &amp; Supply Chain Mgt (2 MC)</t>
  </si>
  <si>
    <t>DOS4811</t>
  </si>
  <si>
    <t>Data Visualisation</t>
  </si>
  <si>
    <t>DOS5101</t>
  </si>
  <si>
    <t>Supply Chain Coordination and Risk Management</t>
  </si>
  <si>
    <t>DOS5102</t>
  </si>
  <si>
    <t>DOS5106</t>
  </si>
  <si>
    <t>DSA1101</t>
  </si>
  <si>
    <t>Introduction to Data Science</t>
  </si>
  <si>
    <t>Statistics and Data Science</t>
  </si>
  <si>
    <t>DSA2101</t>
  </si>
  <si>
    <t>Essential Data Analytics Tools: Data Visualisation</t>
  </si>
  <si>
    <t>DSA2102</t>
  </si>
  <si>
    <t>Essential Data Analytics Tools: Numerical Computation</t>
  </si>
  <si>
    <t>Mathematics</t>
  </si>
  <si>
    <t>DSA2312</t>
  </si>
  <si>
    <t>FOS Undergraduate Professional Internship Programme 2S1</t>
  </si>
  <si>
    <t>DSA3101</t>
  </si>
  <si>
    <t>Data Science in Practice</t>
  </si>
  <si>
    <t>DSA3102</t>
  </si>
  <si>
    <t>Essential Data Analytics Tools: Convex Optimisation</t>
  </si>
  <si>
    <t>DSA3312</t>
  </si>
  <si>
    <t>DSA3361</t>
  </si>
  <si>
    <t>Inferential Data Analytics</t>
  </si>
  <si>
    <t>DSA4199</t>
  </si>
  <si>
    <t>Honours Project in Data Science and Analytics</t>
  </si>
  <si>
    <t>DSA4211</t>
  </si>
  <si>
    <t>High-Dimensional Statistical Analysis</t>
  </si>
  <si>
    <t>DSA4262</t>
  </si>
  <si>
    <t>Sense-making Case Analysis Health and Medicine</t>
  </si>
  <si>
    <t>DSA4299</t>
  </si>
  <si>
    <t>Applied Project in Data Science and Analytics</t>
  </si>
  <si>
    <t>DSA4299C</t>
  </si>
  <si>
    <t>DSA5101</t>
  </si>
  <si>
    <t>Introduction to Big Data for Industry</t>
  </si>
  <si>
    <t>DSA5102</t>
  </si>
  <si>
    <t>Foundations of Machine Learning</t>
  </si>
  <si>
    <t>DSA5104</t>
  </si>
  <si>
    <t>Principles of Data Management and Retrieval</t>
  </si>
  <si>
    <t>DSA5105</t>
  </si>
  <si>
    <t>Principles of Machine Learning</t>
  </si>
  <si>
    <t>DSA5201</t>
  </si>
  <si>
    <t>DSML Industry Consulting and Applications Project</t>
  </si>
  <si>
    <t>DSA5205</t>
  </si>
  <si>
    <t>Data Science in Quantitative Finance</t>
  </si>
  <si>
    <t>DSA5822</t>
  </si>
  <si>
    <t>Data Visualisation: Further Principles and Practice</t>
  </si>
  <si>
    <t>DSA5831</t>
  </si>
  <si>
    <t>Learning from Data: Principles and Practice</t>
  </si>
  <si>
    <t>DSA5841</t>
  </si>
  <si>
    <t>Learning from Data: Decision Trees</t>
  </si>
  <si>
    <t>DSA5842</t>
  </si>
  <si>
    <t>Learning from Data: Support Vector Machines</t>
  </si>
  <si>
    <t>DSA5843</t>
  </si>
  <si>
    <t>Learning from Data: Neural Networks</t>
  </si>
  <si>
    <t>DSC3201</t>
  </si>
  <si>
    <t>DSC3202</t>
  </si>
  <si>
    <t>DSC3203</t>
  </si>
  <si>
    <t>DSC3214</t>
  </si>
  <si>
    <t>Introduction To Optimisation</t>
  </si>
  <si>
    <t>DSC3215</t>
  </si>
  <si>
    <t>Stochastic Models In Management</t>
  </si>
  <si>
    <t>DSC3216</t>
  </si>
  <si>
    <t>DSC3226</t>
  </si>
  <si>
    <t>DSC3229</t>
  </si>
  <si>
    <t>Independent Study in Ops &amp; Supply Chain Mgt</t>
  </si>
  <si>
    <t>DSC4213</t>
  </si>
  <si>
    <t>DSC4214</t>
  </si>
  <si>
    <t>DSC4215</t>
  </si>
  <si>
    <t>DSC4219</t>
  </si>
  <si>
    <t>DSC4229</t>
  </si>
  <si>
    <t>DSE1101</t>
  </si>
  <si>
    <t>Introductory Data Science for Economics</t>
  </si>
  <si>
    <t>DTK1234</t>
  </si>
  <si>
    <t>Design Thinking</t>
  </si>
  <si>
    <t>DTK1234A</t>
  </si>
  <si>
    <t>DTS5701</t>
  </si>
  <si>
    <t>LARGE SCALE SYSTEMS ENGINEERING</t>
  </si>
  <si>
    <t>Temasek Defence Sys. Institute</t>
  </si>
  <si>
    <t>Temasek Defence Systems Inst</t>
  </si>
  <si>
    <t>DTS5702</t>
  </si>
  <si>
    <t>C3 SYSTEMS</t>
  </si>
  <si>
    <t>DTS5711</t>
  </si>
  <si>
    <t>Integration Project</t>
  </si>
  <si>
    <t>DTS5712</t>
  </si>
  <si>
    <t>THESIS PROJECT</t>
  </si>
  <si>
    <t>DTS5732</t>
  </si>
  <si>
    <t>Artificial Intelligence and Data Analytics</t>
  </si>
  <si>
    <t>DTS5734</t>
  </si>
  <si>
    <t>Guided Systems</t>
  </si>
  <si>
    <t>DTS5735</t>
  </si>
  <si>
    <t>Cybersecurity</t>
  </si>
  <si>
    <t>DTS5736</t>
  </si>
  <si>
    <t>Systems Design Project</t>
  </si>
  <si>
    <t>DY5190</t>
  </si>
  <si>
    <t>Graduate Seminar module</t>
  </si>
  <si>
    <t>DY5310</t>
  </si>
  <si>
    <t>Endodontics</t>
  </si>
  <si>
    <t>Div of Graduate Dental Studies</t>
  </si>
  <si>
    <t>DY5320</t>
  </si>
  <si>
    <t>Oral &amp; Maxillofacial Surgery</t>
  </si>
  <si>
    <t>DY5330</t>
  </si>
  <si>
    <t>Orthodontics</t>
  </si>
  <si>
    <t>DY5340</t>
  </si>
  <si>
    <t>Periodontology</t>
  </si>
  <si>
    <t>DY5350</t>
  </si>
  <si>
    <t>Prosthodontics</t>
  </si>
  <si>
    <t>DY5360</t>
  </si>
  <si>
    <t>Paediatric Dentistry</t>
  </si>
  <si>
    <t>EBA5001</t>
  </si>
  <si>
    <t>Analytics Project Management</t>
  </si>
  <si>
    <t>EBA5001G</t>
  </si>
  <si>
    <t>EBA5002</t>
  </si>
  <si>
    <t>Business Analytics Practice</t>
  </si>
  <si>
    <t>EBA5002G</t>
  </si>
  <si>
    <t>EBA5003</t>
  </si>
  <si>
    <t>Customer Analytics</t>
  </si>
  <si>
    <t>EBA5004</t>
  </si>
  <si>
    <t>Practical Language Processing</t>
  </si>
  <si>
    <t>EBA5004G</t>
  </si>
  <si>
    <t>EBA5005</t>
  </si>
  <si>
    <t>Specialized Predictive Modelling and Forecasting</t>
  </si>
  <si>
    <t>EBA5006</t>
  </si>
  <si>
    <t>Big Data Analytics</t>
  </si>
  <si>
    <t>EBA5007</t>
  </si>
  <si>
    <t>Capstone Project in Data Analytics</t>
  </si>
  <si>
    <t>EC1101E</t>
  </si>
  <si>
    <t>Introduction to Economic Analysis</t>
  </si>
  <si>
    <t>Economics</t>
  </si>
  <si>
    <t>EC2101</t>
  </si>
  <si>
    <t>Microeconomic Analysis I</t>
  </si>
  <si>
    <t>EC2102</t>
  </si>
  <si>
    <t>Macroeconomic Analysis I</t>
  </si>
  <si>
    <t>EC2104</t>
  </si>
  <si>
    <t>Quantitative Methods for Economic Analysis</t>
  </si>
  <si>
    <t>EC2205</t>
  </si>
  <si>
    <t>Economic Analysis of Business</t>
  </si>
  <si>
    <t>EC2303</t>
  </si>
  <si>
    <t>Foundations for Econometrics</t>
  </si>
  <si>
    <t>EC2374</t>
  </si>
  <si>
    <t>Economy of Modern China I</t>
  </si>
  <si>
    <t>EC3101</t>
  </si>
  <si>
    <t>Microeconomic Analysis II</t>
  </si>
  <si>
    <t>EC3102</t>
  </si>
  <si>
    <t>Macroeconomic Analysis II</t>
  </si>
  <si>
    <t>EC3303</t>
  </si>
  <si>
    <t>Econometrics I</t>
  </si>
  <si>
    <t>EC3304</t>
  </si>
  <si>
    <t>Econometrics II</t>
  </si>
  <si>
    <t>EC3305</t>
  </si>
  <si>
    <t>Programming Tools for Economics</t>
  </si>
  <si>
    <t>EC3312</t>
  </si>
  <si>
    <t>Game Theory &amp; Applications to Economics</t>
  </si>
  <si>
    <t>EC3332</t>
  </si>
  <si>
    <t>Money and Banking I</t>
  </si>
  <si>
    <t>EC3333</t>
  </si>
  <si>
    <t>Financial Economics I</t>
  </si>
  <si>
    <t>EC3342</t>
  </si>
  <si>
    <t>International Trade I</t>
  </si>
  <si>
    <t>EC3343</t>
  </si>
  <si>
    <t>International Finance I</t>
  </si>
  <si>
    <t>EC3381</t>
  </si>
  <si>
    <t>Urban Economics</t>
  </si>
  <si>
    <t>EC3391</t>
  </si>
  <si>
    <t>Evolution of Economic Thought &amp; Analysis</t>
  </si>
  <si>
    <t>EC3551</t>
  </si>
  <si>
    <t>FASS Undergraduate Research Opportunity (UROP)</t>
  </si>
  <si>
    <t>EC4301</t>
  </si>
  <si>
    <t>Microeconomic Analysis III</t>
  </si>
  <si>
    <t>EC4302</t>
  </si>
  <si>
    <t>Macroeconomic Analysis III</t>
  </si>
  <si>
    <t>EC4303</t>
  </si>
  <si>
    <t>Econometrics III</t>
  </si>
  <si>
    <t>EC4304</t>
  </si>
  <si>
    <t>Economic and Financial Forecasting</t>
  </si>
  <si>
    <t>EC4305</t>
  </si>
  <si>
    <t>Applied Econometrics</t>
  </si>
  <si>
    <t>EC4306</t>
  </si>
  <si>
    <t>Applied Microeconomic Analysis</t>
  </si>
  <si>
    <t>EC4307</t>
  </si>
  <si>
    <t>Issues in Macroeconomics</t>
  </si>
  <si>
    <t>EC4308</t>
  </si>
  <si>
    <t>Machine Learning and Economic Forecasting</t>
  </si>
  <si>
    <t>EC4313</t>
  </si>
  <si>
    <t>Search Theory and Applications</t>
  </si>
  <si>
    <t>EC4324</t>
  </si>
  <si>
    <t>Economics of Competition Policy</t>
  </si>
  <si>
    <t>EC4325</t>
  </si>
  <si>
    <t>The Economics of Digital Platforms</t>
  </si>
  <si>
    <t>EC4332</t>
  </si>
  <si>
    <t>Money and Banking II</t>
  </si>
  <si>
    <t>EC4333</t>
  </si>
  <si>
    <t>Financial Economics II</t>
  </si>
  <si>
    <t>EC4343</t>
  </si>
  <si>
    <t>International Finance II</t>
  </si>
  <si>
    <t>EC4354</t>
  </si>
  <si>
    <t>Economics of Education</t>
  </si>
  <si>
    <t>EC4355</t>
  </si>
  <si>
    <t>Economics of Ageing</t>
  </si>
  <si>
    <t>EC4362</t>
  </si>
  <si>
    <t>Immigration Economics</t>
  </si>
  <si>
    <t>EC4371</t>
  </si>
  <si>
    <t>Development Economics</t>
  </si>
  <si>
    <t>EC4372</t>
  </si>
  <si>
    <t>Technology and Innovation</t>
  </si>
  <si>
    <t>EC4394</t>
  </si>
  <si>
    <t>Behavioural Economics</t>
  </si>
  <si>
    <t>EC4398</t>
  </si>
  <si>
    <t>Economics of Inequality</t>
  </si>
  <si>
    <t>EC4401</t>
  </si>
  <si>
    <t>EC4660</t>
  </si>
  <si>
    <t>EC4880</t>
  </si>
  <si>
    <t>Topics in Economics</t>
  </si>
  <si>
    <t>EC5101</t>
  </si>
  <si>
    <t>MICROECONOMIC THEORY</t>
  </si>
  <si>
    <t>EC5101R</t>
  </si>
  <si>
    <t>EC5102</t>
  </si>
  <si>
    <t>MACROECONOMIC THEORY</t>
  </si>
  <si>
    <t>EC5102R</t>
  </si>
  <si>
    <t>EC5103</t>
  </si>
  <si>
    <t>ECONOMETRIC MODELLING AND APPLICATIONS I</t>
  </si>
  <si>
    <t>EC5103R</t>
  </si>
  <si>
    <t>EC5104</t>
  </si>
  <si>
    <t>Mathematics for Economists</t>
  </si>
  <si>
    <t>EC5104R</t>
  </si>
  <si>
    <t>EC5326</t>
  </si>
  <si>
    <t>Policy Impact Evaluation Methods</t>
  </si>
  <si>
    <t>EC5326R</t>
  </si>
  <si>
    <t>EC5361</t>
  </si>
  <si>
    <t>LABOUR ECONOMICS</t>
  </si>
  <si>
    <t>EC5361R</t>
  </si>
  <si>
    <t>EC6371</t>
  </si>
  <si>
    <t>ADVANCED DEVELOPMENT ECONOMICS</t>
  </si>
  <si>
    <t>EC6770</t>
  </si>
  <si>
    <t>EC6882</t>
  </si>
  <si>
    <t>Advanced Topics in Macroeconomics</t>
  </si>
  <si>
    <t>ECA5101</t>
  </si>
  <si>
    <t>MICROECONOMICS</t>
  </si>
  <si>
    <t>ECA5102</t>
  </si>
  <si>
    <t>MACROECONOMICS</t>
  </si>
  <si>
    <t>ECA5103</t>
  </si>
  <si>
    <t>QUANTITATIVE &amp; COMPUTING METHODS</t>
  </si>
  <si>
    <t>ECA5305</t>
  </si>
  <si>
    <t>R Programming for Economists</t>
  </si>
  <si>
    <t>ECA5307</t>
  </si>
  <si>
    <t>Python Programming for Economists</t>
  </si>
  <si>
    <t>ECA5333</t>
  </si>
  <si>
    <t>FINANCIAL MARKETS &amp; PORTFOLIO MANAGEMENT</t>
  </si>
  <si>
    <t>ECA5334</t>
  </si>
  <si>
    <t>ECA5335</t>
  </si>
  <si>
    <t>DERIVATIVE SECURITIES</t>
  </si>
  <si>
    <t>ECA5371</t>
  </si>
  <si>
    <t>Economic Growth And Development</t>
  </si>
  <si>
    <t>ECA5381</t>
  </si>
  <si>
    <t>EE1111A</t>
  </si>
  <si>
    <t>Electrical Engineering Principles and Practice I</t>
  </si>
  <si>
    <t>EE2012</t>
  </si>
  <si>
    <t>Analytical Methods in Electrical and Computer Engineering</t>
  </si>
  <si>
    <t>EE2022</t>
  </si>
  <si>
    <t>Electrical Energy Systems</t>
  </si>
  <si>
    <t>EE2023</t>
  </si>
  <si>
    <t>Signals and Systems</t>
  </si>
  <si>
    <t>EE2026</t>
  </si>
  <si>
    <t>Digital Design</t>
  </si>
  <si>
    <t>EE2027</t>
  </si>
  <si>
    <t>Electronic Circuits</t>
  </si>
  <si>
    <t>EE2028</t>
  </si>
  <si>
    <t>Microcontroller Programming and Interfacing</t>
  </si>
  <si>
    <t>EE2033</t>
  </si>
  <si>
    <t>Integrated System Lab</t>
  </si>
  <si>
    <t>EE2211</t>
  </si>
  <si>
    <t>Introduction to Machine Learning</t>
  </si>
  <si>
    <t>EE3031</t>
  </si>
  <si>
    <t>Innovation &amp; Enterprise I</t>
  </si>
  <si>
    <t>EE3104C</t>
  </si>
  <si>
    <t>Introduction to RF and Microwave Systems &amp; Circuits</t>
  </si>
  <si>
    <t>EE3305</t>
  </si>
  <si>
    <t>Robotic System Design</t>
  </si>
  <si>
    <t>EE3306</t>
  </si>
  <si>
    <t>Introduction to Cyber Physical Systems</t>
  </si>
  <si>
    <t>EE3331C</t>
  </si>
  <si>
    <t>Feedback Control Systems</t>
  </si>
  <si>
    <t>EE3408C</t>
  </si>
  <si>
    <t>Integrated Analog Design</t>
  </si>
  <si>
    <t>EE3431C</t>
  </si>
  <si>
    <t>Microelectronics Materials and Devices</t>
  </si>
  <si>
    <t>EE3731C</t>
  </si>
  <si>
    <t>Signal Analytics</t>
  </si>
  <si>
    <t>EE3801</t>
  </si>
  <si>
    <t>Data Engineering Principles</t>
  </si>
  <si>
    <t>EE4001</t>
  </si>
  <si>
    <t>EE4002D</t>
  </si>
  <si>
    <t>Design Capstone</t>
  </si>
  <si>
    <t>EE4002R</t>
  </si>
  <si>
    <t>Research Capstone</t>
  </si>
  <si>
    <t>EE4031</t>
  </si>
  <si>
    <t>Intellectual Property: Harnessing Innovation</t>
  </si>
  <si>
    <t>EE4032</t>
  </si>
  <si>
    <t>Blockchain Engineering</t>
  </si>
  <si>
    <t>EE4101</t>
  </si>
  <si>
    <t>RF Communications</t>
  </si>
  <si>
    <t>EE4112</t>
  </si>
  <si>
    <t>Radio Frequency Design and Systems</t>
  </si>
  <si>
    <t>EE4204</t>
  </si>
  <si>
    <t>Computer Networks</t>
  </si>
  <si>
    <t>EE4204E</t>
  </si>
  <si>
    <t>EE4211</t>
  </si>
  <si>
    <t>Data Science for the Internet of Things</t>
  </si>
  <si>
    <t>EE4302</t>
  </si>
  <si>
    <t>Advanced Control Systems</t>
  </si>
  <si>
    <t>EE4303</t>
  </si>
  <si>
    <t>Industrial Control Systems</t>
  </si>
  <si>
    <t>EE4309</t>
  </si>
  <si>
    <t>Robot Perception</t>
  </si>
  <si>
    <t>EE4435</t>
  </si>
  <si>
    <t>Modern Transistors and Memory Devices</t>
  </si>
  <si>
    <t>EE4436</t>
  </si>
  <si>
    <t>Fabrication Process Technology</t>
  </si>
  <si>
    <t>EE4436E</t>
  </si>
  <si>
    <t>EE4501</t>
  </si>
  <si>
    <t>Power System Management And Protection</t>
  </si>
  <si>
    <t>EE4502</t>
  </si>
  <si>
    <t>Electric Drives &amp; Control</t>
  </si>
  <si>
    <t>EE4704</t>
  </si>
  <si>
    <t>Image Processing and Analysis</t>
  </si>
  <si>
    <t>EE4705</t>
  </si>
  <si>
    <t>Human-Robot Interaction</t>
  </si>
  <si>
    <t>EE5001</t>
  </si>
  <si>
    <t>Independent Study Module I</t>
  </si>
  <si>
    <t>EE5002</t>
  </si>
  <si>
    <t>INDEPENDENT STUDY MODULE II</t>
  </si>
  <si>
    <t>EE5003</t>
  </si>
  <si>
    <t>ELECTRICAL ENGINEERING PROJECT</t>
  </si>
  <si>
    <t>EE5025</t>
  </si>
  <si>
    <t>Intellectual Property: Innovations in IoT</t>
  </si>
  <si>
    <t>EE5026</t>
  </si>
  <si>
    <t>Machine Learning for Data Analytics</t>
  </si>
  <si>
    <t>EE5027</t>
  </si>
  <si>
    <t>Statistical Pattern Recognition</t>
  </si>
  <si>
    <t>EE5028</t>
  </si>
  <si>
    <t>Security for Industrial Control Systems</t>
  </si>
  <si>
    <t>EE5040</t>
  </si>
  <si>
    <t>Power Flow Modelling and Optimization</t>
  </si>
  <si>
    <t>EE5041</t>
  </si>
  <si>
    <t>Grid Stability and Security</t>
  </si>
  <si>
    <t>EE5045</t>
  </si>
  <si>
    <t>Industrial Energy Efficiency</t>
  </si>
  <si>
    <t>EE5060</t>
  </si>
  <si>
    <t>Sensors and Instrumentation for Automation</t>
  </si>
  <si>
    <t>EE5061</t>
  </si>
  <si>
    <t>Industrial Control and Programming</t>
  </si>
  <si>
    <t>EE5062</t>
  </si>
  <si>
    <t>Autonomous Systems</t>
  </si>
  <si>
    <t>EE5101</t>
  </si>
  <si>
    <t>LINEAR SYSTEMS</t>
  </si>
  <si>
    <t>EE5103</t>
  </si>
  <si>
    <t>Computer Control Systems</t>
  </si>
  <si>
    <t>EE5110</t>
  </si>
  <si>
    <t>Special Topics in Automation and Control</t>
  </si>
  <si>
    <t>EE5111</t>
  </si>
  <si>
    <t>Selected Topics in Industrial Control &amp; Instrumentation</t>
  </si>
  <si>
    <t>EE5139</t>
  </si>
  <si>
    <t>Information Theory and its Applications</t>
  </si>
  <si>
    <t>EE5303</t>
  </si>
  <si>
    <t>MICROWAVE ELECTRONICS</t>
  </si>
  <si>
    <t>EE5308</t>
  </si>
  <si>
    <t>ANTENNA ENGINEERING</t>
  </si>
  <si>
    <t>EE5502</t>
  </si>
  <si>
    <t>MOS DEVICES</t>
  </si>
  <si>
    <t>EE5508</t>
  </si>
  <si>
    <t>SEMICONDUCTOR FUNDAMENTALS</t>
  </si>
  <si>
    <t>EE5518</t>
  </si>
  <si>
    <t>VLSI DIGITAL CIRCUIT DESIGN</t>
  </si>
  <si>
    <t>EE5666</t>
  </si>
  <si>
    <t>EE5702</t>
  </si>
  <si>
    <t>ADVANCED POWER SYSTEM ANALYSIS</t>
  </si>
  <si>
    <t>EE5703</t>
  </si>
  <si>
    <t>Industrial Drives</t>
  </si>
  <si>
    <t>EE5731</t>
  </si>
  <si>
    <t>Visual Computing</t>
  </si>
  <si>
    <t>EE5831</t>
  </si>
  <si>
    <t>Electromagnetic Wave Theory</t>
  </si>
  <si>
    <t>EE5907</t>
  </si>
  <si>
    <t>Pattern Recognition</t>
  </si>
  <si>
    <t>EE5999</t>
  </si>
  <si>
    <t>EE6110</t>
  </si>
  <si>
    <t>Special Topics in Automation and Control (Advanced)</t>
  </si>
  <si>
    <t>EE6139</t>
  </si>
  <si>
    <t>Information Theory and its Applications (Advanced)</t>
  </si>
  <si>
    <t>EE6435</t>
  </si>
  <si>
    <t>Advanced Concepts in Nanoelectronics</t>
  </si>
  <si>
    <t>EE6438</t>
  </si>
  <si>
    <t>Magnetic materials and devices</t>
  </si>
  <si>
    <t>EE6733</t>
  </si>
  <si>
    <t>Advanced Topics on Vision and Machine Learning</t>
  </si>
  <si>
    <t>EE6990</t>
  </si>
  <si>
    <t>Research Attachment</t>
  </si>
  <si>
    <t>EE6999</t>
  </si>
  <si>
    <t>EG1311</t>
  </si>
  <si>
    <t>Design and Make</t>
  </si>
  <si>
    <t>EG2101</t>
  </si>
  <si>
    <t>Pathways to Engineering Leadership</t>
  </si>
  <si>
    <t>EG2201A</t>
  </si>
  <si>
    <t>User-Centred Collaborative Design</t>
  </si>
  <si>
    <t>EG2301</t>
  </si>
  <si>
    <t>Value Creation in Innovation</t>
  </si>
  <si>
    <t>EG2311</t>
  </si>
  <si>
    <t>Introduction to Space Systems</t>
  </si>
  <si>
    <t>EG2401A</t>
  </si>
  <si>
    <t>Engineering Professionalism</t>
  </si>
  <si>
    <t>EG2501</t>
  </si>
  <si>
    <t>Liveable Cities</t>
  </si>
  <si>
    <t>EG2604</t>
  </si>
  <si>
    <t>Innovation Programme</t>
  </si>
  <si>
    <t>EG2605</t>
  </si>
  <si>
    <t>Undergraduate Research Opportunities Programme</t>
  </si>
  <si>
    <t>EG2606A</t>
  </si>
  <si>
    <t>EG2606B</t>
  </si>
  <si>
    <t>EG2701A</t>
  </si>
  <si>
    <t>Aspirational Project I</t>
  </si>
  <si>
    <t>EG2701B</t>
  </si>
  <si>
    <t>Aspirational Project II</t>
  </si>
  <si>
    <t>EG3301R</t>
  </si>
  <si>
    <t>DCP Project</t>
  </si>
  <si>
    <t>EG3611</t>
  </si>
  <si>
    <t>EG3611A</t>
  </si>
  <si>
    <t>EG3611B</t>
  </si>
  <si>
    <t>EG4301</t>
  </si>
  <si>
    <t>DCP Dissertation</t>
  </si>
  <si>
    <t>EG4301A</t>
  </si>
  <si>
    <t>Ideas to Start-up</t>
  </si>
  <si>
    <t>EG5911R</t>
  </si>
  <si>
    <t>Information Literacy Skills for Research</t>
  </si>
  <si>
    <t>EL1101E</t>
  </si>
  <si>
    <t>The Nature of Language</t>
  </si>
  <si>
    <t>English,Ling.&amp;Theatre Studies</t>
  </si>
  <si>
    <t>EL2102</t>
  </si>
  <si>
    <t>Sound Patterns in Language</t>
  </si>
  <si>
    <t>EL2151</t>
  </si>
  <si>
    <t>Social Variation in English</t>
  </si>
  <si>
    <t>EL3201</t>
  </si>
  <si>
    <t>Syntax</t>
  </si>
  <si>
    <t>EL3206</t>
  </si>
  <si>
    <t>Psycholinguistics</t>
  </si>
  <si>
    <t>EL3208</t>
  </si>
  <si>
    <t>Bilingualism</t>
  </si>
  <si>
    <t>EL3209</t>
  </si>
  <si>
    <t>Language, Culture, and Mind</t>
  </si>
  <si>
    <t>EL3214</t>
  </si>
  <si>
    <t>Language Documentation</t>
  </si>
  <si>
    <t>EL3551</t>
  </si>
  <si>
    <t>EL4216</t>
  </si>
  <si>
    <t>Lexicology and Lexicography</t>
  </si>
  <si>
    <t>EL4252</t>
  </si>
  <si>
    <t>Interactional Discourse</t>
  </si>
  <si>
    <t>EL4253</t>
  </si>
  <si>
    <t>Language, Gender and Sexual Identities</t>
  </si>
  <si>
    <t>EL4255</t>
  </si>
  <si>
    <t>English as a World Language</t>
  </si>
  <si>
    <t>EL4401</t>
  </si>
  <si>
    <t>EL4660</t>
  </si>
  <si>
    <t>EL5101</t>
  </si>
  <si>
    <t>Grammatical Analysis</t>
  </si>
  <si>
    <t>EL5101R</t>
  </si>
  <si>
    <t>EL5102</t>
  </si>
  <si>
    <t> Phonetics and Phonology</t>
  </si>
  <si>
    <t>EL5102R</t>
  </si>
  <si>
    <t>EL5103</t>
  </si>
  <si>
    <t>Language in Society</t>
  </si>
  <si>
    <t>EL5103R</t>
  </si>
  <si>
    <t>EL5255R</t>
  </si>
  <si>
    <t>Second Language Writing</t>
  </si>
  <si>
    <t>EL5270R</t>
  </si>
  <si>
    <t>EXPLORATIONS IN APPLIED LINGUISTICS</t>
  </si>
  <si>
    <t>EL5660</t>
  </si>
  <si>
    <t>EL6660</t>
  </si>
  <si>
    <t>EL6884</t>
  </si>
  <si>
    <t>TOPICS IN APPLIED LINGUISTICS</t>
  </si>
  <si>
    <t>ELC5104</t>
  </si>
  <si>
    <t>Approaches to Language</t>
  </si>
  <si>
    <t>ELC5255</t>
  </si>
  <si>
    <t>ELC5270</t>
  </si>
  <si>
    <t>Explorations in Applied Linguistics</t>
  </si>
  <si>
    <t>EM1201</t>
  </si>
  <si>
    <t>English for Academic Purposes (Music) 1</t>
  </si>
  <si>
    <t>EM1202</t>
  </si>
  <si>
    <t>English for Academic Purposes (Music) 2</t>
  </si>
  <si>
    <t>EN1101E</t>
  </si>
  <si>
    <t>An Introduction to Literary Studies</t>
  </si>
  <si>
    <t>EN2207</t>
  </si>
  <si>
    <t>Gender and Sexuality in Literature</t>
  </si>
  <si>
    <t>EN2277</t>
  </si>
  <si>
    <t>Love's Word: Reading across Literature and Philosophy</t>
  </si>
  <si>
    <t>EN3222</t>
  </si>
  <si>
    <t>The Eighteenth Century</t>
  </si>
  <si>
    <t>EN3224</t>
  </si>
  <si>
    <t>The Twentieth Century</t>
  </si>
  <si>
    <t>EN3227</t>
  </si>
  <si>
    <t>Romanticism</t>
  </si>
  <si>
    <t>EN3231</t>
  </si>
  <si>
    <t>American Literature I</t>
  </si>
  <si>
    <t>EN3551</t>
  </si>
  <si>
    <t>EN4224</t>
  </si>
  <si>
    <t>Topics in the Twentieth Century</t>
  </si>
  <si>
    <t>EN4234</t>
  </si>
  <si>
    <t>Pynchon and the Poetics of Information</t>
  </si>
  <si>
    <t>EN4264</t>
  </si>
  <si>
    <t>Modern Poetry</t>
  </si>
  <si>
    <t>EN4401</t>
  </si>
  <si>
    <t>EN4660</t>
  </si>
  <si>
    <t>EN5238R</t>
  </si>
  <si>
    <t>Twentieth Century Literature</t>
  </si>
  <si>
    <t>EN5247R</t>
  </si>
  <si>
    <t>Victorian Literature: History, Politics, Culture</t>
  </si>
  <si>
    <t>EN5660</t>
  </si>
  <si>
    <t>EN6660</t>
  </si>
  <si>
    <t>ENC5149</t>
  </si>
  <si>
    <t>Literary Studies: Overview and Writing Practices</t>
  </si>
  <si>
    <t>ENC5238</t>
  </si>
  <si>
    <t>ENC5247</t>
  </si>
  <si>
    <t>ENC5660</t>
  </si>
  <si>
    <t>ENV1101</t>
  </si>
  <si>
    <t>Environmental Studies: An Interdisciplinary Overview</t>
  </si>
  <si>
    <t>ENV2103</t>
  </si>
  <si>
    <t>The Environment and Public Health</t>
  </si>
  <si>
    <t>ENV2288</t>
  </si>
  <si>
    <t>Basic UROP in Environmental Studies I</t>
  </si>
  <si>
    <t>ENV2289</t>
  </si>
  <si>
    <t>Basic UROP in Environmental Studies II</t>
  </si>
  <si>
    <t>ENV2302</t>
  </si>
  <si>
    <t>Communications for Environmental Studies</t>
  </si>
  <si>
    <t>ENV3101</t>
  </si>
  <si>
    <t>Environmental Challenges in Asia</t>
  </si>
  <si>
    <t>ENV3288</t>
  </si>
  <si>
    <t>Advanced UROP in Environmental Studies I</t>
  </si>
  <si>
    <t>ENV3289</t>
  </si>
  <si>
    <t>Advanced UROP in Environmental Studies II</t>
  </si>
  <si>
    <t>ES1000</t>
  </si>
  <si>
    <t>Foundation Academic English</t>
  </si>
  <si>
    <t>ES1103</t>
  </si>
  <si>
    <t>English for Academic Purposes</t>
  </si>
  <si>
    <t>ES2002</t>
  </si>
  <si>
    <t>Business Communication for Leaders (BBA)</t>
  </si>
  <si>
    <t>ES2007D</t>
  </si>
  <si>
    <t>Professional Communication</t>
  </si>
  <si>
    <t>ES2631</t>
  </si>
  <si>
    <t>Critique and Communication of Thinking and Design</t>
  </si>
  <si>
    <t>ES2660</t>
  </si>
  <si>
    <t>Communicating in the Information Age</t>
  </si>
  <si>
    <t>ES5000</t>
  </si>
  <si>
    <t>GRADUATE ENGLISH COURSE (BASIC LEVEL)</t>
  </si>
  <si>
    <t>ES5001A</t>
  </si>
  <si>
    <t>GRADUATE ENGLISH COURSE (INTERMEDIATE LEVEL)</t>
  </si>
  <si>
    <t>ES5002</t>
  </si>
  <si>
    <t>Graduate English Course (Advanced Level)</t>
  </si>
  <si>
    <t>ES5101</t>
  </si>
  <si>
    <t>Technical Communication for Engineers</t>
  </si>
  <si>
    <t>ESE2000</t>
  </si>
  <si>
    <t>Chemistry for an Environmentally Sustainable Future</t>
  </si>
  <si>
    <t>ESE2001</t>
  </si>
  <si>
    <t>Environmental Challenges in the Anthropocene</t>
  </si>
  <si>
    <t>ESE2101</t>
  </si>
  <si>
    <t>Environmental Engineering Principles and Practice</t>
  </si>
  <si>
    <t>ESE3201</t>
  </si>
  <si>
    <t>Air Quality in Changing Environments</t>
  </si>
  <si>
    <t>ESE3401</t>
  </si>
  <si>
    <t>Sustainable Urban Water Technologies</t>
  </si>
  <si>
    <t>ESE4501</t>
  </si>
  <si>
    <t>ESE4502R</t>
  </si>
  <si>
    <t>ESE5001</t>
  </si>
  <si>
    <t>Environmental Engineering Principles</t>
  </si>
  <si>
    <t>ESE5001AB</t>
  </si>
  <si>
    <t>ESE5004</t>
  </si>
  <si>
    <t>ESE5204</t>
  </si>
  <si>
    <t>Toxic and Hazardous Waste Management</t>
  </si>
  <si>
    <t>ESE5204A</t>
  </si>
  <si>
    <t>Bioremediation of Hazardous Chemicals in Soil &amp; Water</t>
  </si>
  <si>
    <t>ESE5204B</t>
  </si>
  <si>
    <t>Physico-Chemical Treatment for Hazardous Chemicals</t>
  </si>
  <si>
    <t>ESE5301</t>
  </si>
  <si>
    <t>Environmental Microbiology and Biotechnology</t>
  </si>
  <si>
    <t>ESE5404</t>
  </si>
  <si>
    <t>Biological Treatment Processes</t>
  </si>
  <si>
    <t>ESE5666</t>
  </si>
  <si>
    <t>ESE5880A</t>
  </si>
  <si>
    <t>Topics in Environmental Engineering Chem. &amp; Lab Safety</t>
  </si>
  <si>
    <t>ESE5901B</t>
  </si>
  <si>
    <t>Technologies in Environmental Engineering</t>
  </si>
  <si>
    <t>ESE5999</t>
  </si>
  <si>
    <t>ESE6301</t>
  </si>
  <si>
    <t>Advanced Environmental Microbiology and Biotechnology</t>
  </si>
  <si>
    <t>ESE6999</t>
  </si>
  <si>
    <t>ESP1111</t>
  </si>
  <si>
    <t>Engineering Principles In-Action</t>
  </si>
  <si>
    <t>Engineering Science Programme</t>
  </si>
  <si>
    <t>ESP2107</t>
  </si>
  <si>
    <t>Numerical Methods and Statistics</t>
  </si>
  <si>
    <t>ESP3201</t>
  </si>
  <si>
    <t>Machine Learning in Robotics and Engineering</t>
  </si>
  <si>
    <t>ESP3902</t>
  </si>
  <si>
    <t>Major Design Project I</t>
  </si>
  <si>
    <t>ESP4901</t>
  </si>
  <si>
    <t>EU1101E</t>
  </si>
  <si>
    <t>Making of Modern Europe</t>
  </si>
  <si>
    <t>EU2214</t>
  </si>
  <si>
    <t>Introduction to Continental Philosophy</t>
  </si>
  <si>
    <t>EU3224</t>
  </si>
  <si>
    <t>Social Thought &amp; Social Theory</t>
  </si>
  <si>
    <t>EU4226</t>
  </si>
  <si>
    <t>Imperialism and Empires</t>
  </si>
  <si>
    <t>EU4401</t>
  </si>
  <si>
    <t>EU4660</t>
  </si>
  <si>
    <t>FAS1101</t>
  </si>
  <si>
    <t>Writing Academically: Arts and Social Sciences</t>
  </si>
  <si>
    <t>FAS2551</t>
  </si>
  <si>
    <t>FASS Internship</t>
  </si>
  <si>
    <t>FASS DO/Office of Programmes</t>
  </si>
  <si>
    <t>FAS2551A</t>
  </si>
  <si>
    <t>FASS Internship II</t>
  </si>
  <si>
    <t>FAS2552</t>
  </si>
  <si>
    <t>FASS Extended Internship</t>
  </si>
  <si>
    <t>FAS2552A</t>
  </si>
  <si>
    <t>FASS Extended Internship II</t>
  </si>
  <si>
    <t>FDP2011</t>
  </si>
  <si>
    <t>Special Mathematics Class 1, 2</t>
  </si>
  <si>
    <t>FDP2021</t>
  </si>
  <si>
    <t>Special Physics Class 1, 2</t>
  </si>
  <si>
    <t>FE5101</t>
  </si>
  <si>
    <t>Derivatives And Fixed Income</t>
  </si>
  <si>
    <t>Risk Management Institute</t>
  </si>
  <si>
    <t>FE5108</t>
  </si>
  <si>
    <t>Portfolio Theory And Investments</t>
  </si>
  <si>
    <t>FE5110</t>
  </si>
  <si>
    <t>FINANCIAL ENGINEERING PROJECT</t>
  </si>
  <si>
    <t>FE5112</t>
  </si>
  <si>
    <t>Stochastic Calculus and Quantitative Methods</t>
  </si>
  <si>
    <t>FE5209</t>
  </si>
  <si>
    <t>FINANCIAL ECONOMETRICS</t>
  </si>
  <si>
    <t>FE5221</t>
  </si>
  <si>
    <t>Trading Principles &amp; Fundamentals</t>
  </si>
  <si>
    <t>FE5222</t>
  </si>
  <si>
    <t>Advanced Derivatives Pricing</t>
  </si>
  <si>
    <t>FE5223</t>
  </si>
  <si>
    <t>Introduction to Electronic Financial Market</t>
  </si>
  <si>
    <t>FE5226</t>
  </si>
  <si>
    <t>C++ in Financial Engineering</t>
  </si>
  <si>
    <t>FIN2704</t>
  </si>
  <si>
    <t>FIN2704X</t>
  </si>
  <si>
    <t>FIN3129</t>
  </si>
  <si>
    <t>Independent Study in Finance</t>
  </si>
  <si>
    <t>FIN3139</t>
  </si>
  <si>
    <t>FIN3701A</t>
  </si>
  <si>
    <t>Corporate Finance</t>
  </si>
  <si>
    <t>FIN3701B</t>
  </si>
  <si>
    <t>FIN3702A</t>
  </si>
  <si>
    <t>Investment Analysis and Portfolio Management</t>
  </si>
  <si>
    <t>FIN3702B</t>
  </si>
  <si>
    <t>FIN3703A</t>
  </si>
  <si>
    <t>Financial Markets</t>
  </si>
  <si>
    <t>FIN3711</t>
  </si>
  <si>
    <t>International Financial Management</t>
  </si>
  <si>
    <t>FIN3713</t>
  </si>
  <si>
    <t>Bank Management</t>
  </si>
  <si>
    <t>FIN3714</t>
  </si>
  <si>
    <t>Financial Risk Management</t>
  </si>
  <si>
    <t>FIN3715</t>
  </si>
  <si>
    <t>Risk and Insurance</t>
  </si>
  <si>
    <t>FIN3716</t>
  </si>
  <si>
    <t>FIN3719A</t>
  </si>
  <si>
    <t>FIN3720</t>
  </si>
  <si>
    <t>Financial Statement Analysis</t>
  </si>
  <si>
    <t>FIN3721</t>
  </si>
  <si>
    <t>Consumer Banking Wealth Management</t>
  </si>
  <si>
    <t>FIN3751</t>
  </si>
  <si>
    <t>FIN3761A</t>
  </si>
  <si>
    <t>TIF: Transaction Banking</t>
  </si>
  <si>
    <t>FIN4119</t>
  </si>
  <si>
    <t>Advanced Independent Study in Finance</t>
  </si>
  <si>
    <t>FIN4129</t>
  </si>
  <si>
    <t>FIN4714</t>
  </si>
  <si>
    <t>Valuation and Mergers &amp; Acquisition</t>
  </si>
  <si>
    <t>FIN4715</t>
  </si>
  <si>
    <t>Measuring Success in Philanthropy and Impact Investing</t>
  </si>
  <si>
    <t>FIN4717</t>
  </si>
  <si>
    <t>FIN4718</t>
  </si>
  <si>
    <t>FinTech Management</t>
  </si>
  <si>
    <t>FIN4720</t>
  </si>
  <si>
    <t>Sustainability and Finance</t>
  </si>
  <si>
    <t>FIN4721</t>
  </si>
  <si>
    <t>AI, Blockchain and Quantum Computing</t>
  </si>
  <si>
    <t>FIN4751</t>
  </si>
  <si>
    <t>FIN4752</t>
  </si>
  <si>
    <t>Advanced Independent Study in Finance (2 MC)</t>
  </si>
  <si>
    <t>FIN4761C</t>
  </si>
  <si>
    <t>SIF: Applied Portfolio Management Techniques</t>
  </si>
  <si>
    <t>FIN4761D</t>
  </si>
  <si>
    <t>SIF: Family Business &amp; Wealth Management</t>
  </si>
  <si>
    <t>FIN6002</t>
  </si>
  <si>
    <t>Banking and Household Finance</t>
  </si>
  <si>
    <t>FSC2101</t>
  </si>
  <si>
    <t>Forensic Science</t>
  </si>
  <si>
    <t>FSC4201</t>
  </si>
  <si>
    <t>Articulating Probability and Statistics in Court</t>
  </si>
  <si>
    <t>FSC5101</t>
  </si>
  <si>
    <t>Survey of Forensic Science</t>
  </si>
  <si>
    <t>FSC5199</t>
  </si>
  <si>
    <t>Research Project in Forensic Science</t>
  </si>
  <si>
    <t>FSC5201</t>
  </si>
  <si>
    <t>Advanced CSI Techniques</t>
  </si>
  <si>
    <t>FSC5203</t>
  </si>
  <si>
    <t>Digital Forensic Investigation</t>
  </si>
  <si>
    <t>FSP4003</t>
  </si>
  <si>
    <t>Field Service Project</t>
  </si>
  <si>
    <t>FST2102B</t>
  </si>
  <si>
    <t>Chemistry of Food Components</t>
  </si>
  <si>
    <t>Food Science &amp; Technology</t>
  </si>
  <si>
    <t>FST2288</t>
  </si>
  <si>
    <t>Basic UROPS in Food Science &amp; Technology I</t>
  </si>
  <si>
    <t>FST2289</t>
  </si>
  <si>
    <t>Basic UROPS in Food Science &amp; Technology II</t>
  </si>
  <si>
    <t>FST3101</t>
  </si>
  <si>
    <t>Food Microbiology &amp; Fermentation</t>
  </si>
  <si>
    <t>FST3103</t>
  </si>
  <si>
    <t>Advanced Food Engineering</t>
  </si>
  <si>
    <t>FST3105</t>
  </si>
  <si>
    <t>Food Product Development and Packaging</t>
  </si>
  <si>
    <t>FST3106</t>
  </si>
  <si>
    <t>Sensory and Flavour Science</t>
  </si>
  <si>
    <t>FST3202</t>
  </si>
  <si>
    <t>Nutrition and Disease Prevention</t>
  </si>
  <si>
    <t>FST3288</t>
  </si>
  <si>
    <t>Advanced UROPS in Food Science &amp; Technology I</t>
  </si>
  <si>
    <t>FST3289</t>
  </si>
  <si>
    <t>Advanced UROPS in Food Science &amp; Technology II</t>
  </si>
  <si>
    <t>FST4199</t>
  </si>
  <si>
    <t>Honours Project in Food Science &amp; Tech</t>
  </si>
  <si>
    <t>FST4202</t>
  </si>
  <si>
    <t>Nutritional Biochemistry</t>
  </si>
  <si>
    <t>FST4299</t>
  </si>
  <si>
    <t>Applied Project in FST</t>
  </si>
  <si>
    <t>FST5198</t>
  </si>
  <si>
    <t>Advanced Food Science and Nutrition Seminar</t>
  </si>
  <si>
    <t>FST5199</t>
  </si>
  <si>
    <t>MSc research project</t>
  </si>
  <si>
    <t>FST5199A</t>
  </si>
  <si>
    <t>MSc Research Project</t>
  </si>
  <si>
    <t>FST5199B</t>
  </si>
  <si>
    <t>Integrated Food Research Lab</t>
  </si>
  <si>
    <t>FST5205A</t>
  </si>
  <si>
    <t>Smart &amp; Sustainable Food Processing and Engineering</t>
  </si>
  <si>
    <t>FST5225</t>
  </si>
  <si>
    <t>Advanced Current Topics in Food Science I</t>
  </si>
  <si>
    <t>FST5226</t>
  </si>
  <si>
    <t>Advanced Current Topics in Food Science II</t>
  </si>
  <si>
    <t>FST5227</t>
  </si>
  <si>
    <t>Advanced Current Topics in Food Science III</t>
  </si>
  <si>
    <t>FST5301A</t>
  </si>
  <si>
    <t>Scientific Principles of Nutraceuticals</t>
  </si>
  <si>
    <t>FST5302</t>
  </si>
  <si>
    <t>Food, Nutrition and Health</t>
  </si>
  <si>
    <t>FT5001</t>
  </si>
  <si>
    <t>Fintech Innovations for Consumers</t>
  </si>
  <si>
    <t>FT5002</t>
  </si>
  <si>
    <t>Digital Transformation at Financial Institutions</t>
  </si>
  <si>
    <t>FT5007</t>
  </si>
  <si>
    <t>FinTech Capstone Project</t>
  </si>
  <si>
    <t>Asian Inst of Digital Finance</t>
  </si>
  <si>
    <t>FT5008</t>
  </si>
  <si>
    <t>Contemporary Topics in Blockchain Applications</t>
  </si>
  <si>
    <t>FT5009</t>
  </si>
  <si>
    <t>Contemporary Topics in Financial Data Analytics</t>
  </si>
  <si>
    <t>FT5101</t>
  </si>
  <si>
    <t>FinTech Research Immersion</t>
  </si>
  <si>
    <t>GE1101E</t>
  </si>
  <si>
    <t>Geographical Journeys: Exploring World Environments</t>
  </si>
  <si>
    <t>Geography</t>
  </si>
  <si>
    <t>GE2215</t>
  </si>
  <si>
    <t>Introduction to GIS</t>
  </si>
  <si>
    <t>GE2231</t>
  </si>
  <si>
    <t>Living Space: Introducing Social and Cultural Geography</t>
  </si>
  <si>
    <t>GE3204</t>
  </si>
  <si>
    <t>Cities and Regions: Planning for Change</t>
  </si>
  <si>
    <t>GE3235</t>
  </si>
  <si>
    <t>Geographies of Development</t>
  </si>
  <si>
    <t>GE3236</t>
  </si>
  <si>
    <t>Transport and Communications</t>
  </si>
  <si>
    <t>GE3238</t>
  </si>
  <si>
    <t>GIS Design and Practices</t>
  </si>
  <si>
    <t>GE3241</t>
  </si>
  <si>
    <t>Geographies of Social Life</t>
  </si>
  <si>
    <t>GE3250</t>
  </si>
  <si>
    <t>Nature and Society</t>
  </si>
  <si>
    <t>GE3253</t>
  </si>
  <si>
    <t>Weather and Climate</t>
  </si>
  <si>
    <t>GE3254</t>
  </si>
  <si>
    <t>Energy Futures: Environment and Sustainability</t>
  </si>
  <si>
    <t>GE3255</t>
  </si>
  <si>
    <t>Aquatic, Riparian and Coastal Systems</t>
  </si>
  <si>
    <t>GE3550A</t>
  </si>
  <si>
    <t>GIS Internship Module</t>
  </si>
  <si>
    <t>GE3550B</t>
  </si>
  <si>
    <t>Geography Internship</t>
  </si>
  <si>
    <t>GE3551</t>
  </si>
  <si>
    <t>GE4202</t>
  </si>
  <si>
    <t>Remaking the Global Economy</t>
  </si>
  <si>
    <t>GE4207</t>
  </si>
  <si>
    <t>Coastal Management</t>
  </si>
  <si>
    <t>GE4211</t>
  </si>
  <si>
    <t>Advanced Hydrology and Water Resources Management</t>
  </si>
  <si>
    <t>GE4213</t>
  </si>
  <si>
    <t>Cultural Geographies</t>
  </si>
  <si>
    <t>GE4214</t>
  </si>
  <si>
    <t>Remote Sensing of Environment</t>
  </si>
  <si>
    <t>GE4217</t>
  </si>
  <si>
    <t>Political Geographies: Space and Power</t>
  </si>
  <si>
    <t>GE4218</t>
  </si>
  <si>
    <t>Interpreting Tourism Spaces and Cultures</t>
  </si>
  <si>
    <t>GE4219</t>
  </si>
  <si>
    <t>Development and Environment in Southeast Asia</t>
  </si>
  <si>
    <t>GE4222</t>
  </si>
  <si>
    <t>Advanced Geomorphology</t>
  </si>
  <si>
    <t>GE4225</t>
  </si>
  <si>
    <t>Young People and Children: Global Perspectives</t>
  </si>
  <si>
    <t>GE4234</t>
  </si>
  <si>
    <t>Environmental Change in the Tropics</t>
  </si>
  <si>
    <t>GE4401</t>
  </si>
  <si>
    <t>GE4660</t>
  </si>
  <si>
    <t>GE5216</t>
  </si>
  <si>
    <t>GEOGRAPHY AND SOCIAL THEORY</t>
  </si>
  <si>
    <t>GE5217</t>
  </si>
  <si>
    <t>RESEARCH METHODS IN ENVIRONMENTAL SCIENCES</t>
  </si>
  <si>
    <t>GE5223</t>
  </si>
  <si>
    <t>Introduction to Applied GIS</t>
  </si>
  <si>
    <t>GE5226</t>
  </si>
  <si>
    <t>GIS Applications</t>
  </si>
  <si>
    <t>GE5228</t>
  </si>
  <si>
    <t>Spatial Big Data and Analytics</t>
  </si>
  <si>
    <t>GE5660</t>
  </si>
  <si>
    <t>GE6222</t>
  </si>
  <si>
    <t>Transnationalism and Society: Comparative Spaces</t>
  </si>
  <si>
    <t>GE6660</t>
  </si>
  <si>
    <t>GEA1000</t>
  </si>
  <si>
    <t>Quantitative Reasoning with Data</t>
  </si>
  <si>
    <t>GEA1000N</t>
  </si>
  <si>
    <t>NUS College</t>
  </si>
  <si>
    <t>NUS College Dean's Office</t>
  </si>
  <si>
    <t>GEC1005</t>
  </si>
  <si>
    <t>Cultural Borrowing: Japan and China</t>
  </si>
  <si>
    <t>Japanese Studies</t>
  </si>
  <si>
    <t>GEC1006</t>
  </si>
  <si>
    <t>Understanding Consumption</t>
  </si>
  <si>
    <t>GEC1015</t>
  </si>
  <si>
    <t>Public Health in Action</t>
  </si>
  <si>
    <t>SSH School of Public Health</t>
  </si>
  <si>
    <t>SSH School of Public Health DO</t>
  </si>
  <si>
    <t>GEC1017</t>
  </si>
  <si>
    <t>Film Art and Human Concerns</t>
  </si>
  <si>
    <t>GEC1018</t>
  </si>
  <si>
    <t>Names as Markers of Socio-cultural Identity</t>
  </si>
  <si>
    <t>GEC1020</t>
  </si>
  <si>
    <t>Cultural Diversity in the Contemporary World</t>
  </si>
  <si>
    <t>GEC1023</t>
  </si>
  <si>
    <t>Social History of the Piano</t>
  </si>
  <si>
    <t>YST Conservatory of Music</t>
  </si>
  <si>
    <t>YSTCM Dean's Office</t>
  </si>
  <si>
    <t>GEC1024</t>
  </si>
  <si>
    <t>Ghosts and Spirits in Society and Culture</t>
  </si>
  <si>
    <t>GEC1028</t>
  </si>
  <si>
    <t>Luck</t>
  </si>
  <si>
    <t>GEC1029</t>
  </si>
  <si>
    <t>Worlds of Football</t>
  </si>
  <si>
    <t>GEC1030</t>
  </si>
  <si>
    <t>Metropolis: The City in World History</t>
  </si>
  <si>
    <t>GEC1034</t>
  </si>
  <si>
    <t>Understanding the Changing Global Economic Landscape</t>
  </si>
  <si>
    <t>GEC1040</t>
  </si>
  <si>
    <t>A Culture of Sustainability</t>
  </si>
  <si>
    <t>GEC1044</t>
  </si>
  <si>
    <t>Chinese Medicine: Theory and Practice</t>
  </si>
  <si>
    <t>GEH1009</t>
  </si>
  <si>
    <t>Framing Bollywood: Unpacking The Magic</t>
  </si>
  <si>
    <t>South Asian Studies</t>
  </si>
  <si>
    <t>GEH1015</t>
  </si>
  <si>
    <t>GEH1016</t>
  </si>
  <si>
    <t>GEH1049</t>
  </si>
  <si>
    <t>GEH1053</t>
  </si>
  <si>
    <t>GEH1054</t>
  </si>
  <si>
    <t>GEH1056</t>
  </si>
  <si>
    <t>GEH1060</t>
  </si>
  <si>
    <t>GEH1062</t>
  </si>
  <si>
    <t>GEH1070</t>
  </si>
  <si>
    <t>Chinese Medicine Theory and Practice</t>
  </si>
  <si>
    <t>GEH1074</t>
  </si>
  <si>
    <t>GEH1076</t>
  </si>
  <si>
    <t>GEH1077</t>
  </si>
  <si>
    <t>GEI1000</t>
  </si>
  <si>
    <t>Computational Thinking</t>
  </si>
  <si>
    <t>GEI1001</t>
  </si>
  <si>
    <t>Computational Reasoning</t>
  </si>
  <si>
    <t>GEI1002</t>
  </si>
  <si>
    <t>Computers and the Humanities</t>
  </si>
  <si>
    <t>GEN2000</t>
  </si>
  <si>
    <t>Living Culture Engaging Indian Communities in Singapore</t>
  </si>
  <si>
    <t>GEN2001</t>
  </si>
  <si>
    <t>Theatre and Community Engagement</t>
  </si>
  <si>
    <t>GEN2002</t>
  </si>
  <si>
    <t>Total Defence Project Against Threat to the Community</t>
  </si>
  <si>
    <t>GEN2050</t>
  </si>
  <si>
    <t>Teach SG</t>
  </si>
  <si>
    <t>GEN2060</t>
  </si>
  <si>
    <t>Reconnect SeniorsSG</t>
  </si>
  <si>
    <t>GEN2061</t>
  </si>
  <si>
    <t>Support Healthy AgeingSG</t>
  </si>
  <si>
    <t>GEN2070</t>
  </si>
  <si>
    <t>Community Link (ComLink) Befrienders</t>
  </si>
  <si>
    <t>GEQ1000</t>
  </si>
  <si>
    <t>Asking Questions</t>
  </si>
  <si>
    <t>GER1000H</t>
  </si>
  <si>
    <t>Quantitative Reasoning</t>
  </si>
  <si>
    <t>GES1002</t>
  </si>
  <si>
    <t>Global EC Dimensions of Singapore</t>
  </si>
  <si>
    <t>GES1005</t>
  </si>
  <si>
    <t>Everyday Life of Chinese Singaporeans: Past &amp; Present (taught in English)</t>
  </si>
  <si>
    <t>GES1007</t>
  </si>
  <si>
    <t>South Asia in Singapore</t>
  </si>
  <si>
    <t>GES1008</t>
  </si>
  <si>
    <t>Ethnicity and Nation-Building: Singapore and Malaysia</t>
  </si>
  <si>
    <t>Malay Studies</t>
  </si>
  <si>
    <t>GES1011</t>
  </si>
  <si>
    <t>The Evolution of a Global City-State</t>
  </si>
  <si>
    <t>GES1014</t>
  </si>
  <si>
    <t>Islam and Contemporary Malay Society</t>
  </si>
  <si>
    <t>GES1019</t>
  </si>
  <si>
    <t>Managing Singapore's Built Environment</t>
  </si>
  <si>
    <t>GES1020</t>
  </si>
  <si>
    <t>Western Music within a Singaporean Context</t>
  </si>
  <si>
    <t>GES1021</t>
  </si>
  <si>
    <t>Natural Heritage of Singapore</t>
  </si>
  <si>
    <t>GES1024</t>
  </si>
  <si>
    <t>Real Estate Development &amp; Investment Law</t>
  </si>
  <si>
    <t>Real Estate</t>
  </si>
  <si>
    <t>GES1026</t>
  </si>
  <si>
    <t>Urban Planning in Singapore</t>
  </si>
  <si>
    <t>GES1028</t>
  </si>
  <si>
    <t>Singapore Society</t>
  </si>
  <si>
    <t>GES1034</t>
  </si>
  <si>
    <t>We the Citizens - Understanding Singapores Politics</t>
  </si>
  <si>
    <t>Political Science</t>
  </si>
  <si>
    <t>GES1035</t>
  </si>
  <si>
    <t>Singapore: Imagining the Next 50 Years</t>
  </si>
  <si>
    <t>GES1039</t>
  </si>
  <si>
    <t>Cultural Performances and Practices in Singapore</t>
  </si>
  <si>
    <t>GES1040</t>
  </si>
  <si>
    <t>Prominent Chinese in Colonial Singapore</t>
  </si>
  <si>
    <t>GES1041</t>
  </si>
  <si>
    <t>Everyday Ethics in Singapore</t>
  </si>
  <si>
    <t>GESS1000</t>
  </si>
  <si>
    <t>GESS1003</t>
  </si>
  <si>
    <t>GESS1005</t>
  </si>
  <si>
    <t>GESS1006</t>
  </si>
  <si>
    <t>GESS1009</t>
  </si>
  <si>
    <t>GESS1012</t>
  </si>
  <si>
    <t>GESS1014</t>
  </si>
  <si>
    <t>GESS1015</t>
  </si>
  <si>
    <t>GESS1016</t>
  </si>
  <si>
    <t>GESS1018</t>
  </si>
  <si>
    <t>GESS1019</t>
  </si>
  <si>
    <t>GESS1020</t>
  </si>
  <si>
    <t>GESS1024</t>
  </si>
  <si>
    <t>GESS1025</t>
  </si>
  <si>
    <t>GESS1028</t>
  </si>
  <si>
    <t>GESS1029</t>
  </si>
  <si>
    <t>GESS1032</t>
  </si>
  <si>
    <t>GESS1036</t>
  </si>
  <si>
    <t>Singapore Employment Law and Policies</t>
  </si>
  <si>
    <t>GESS1037</t>
  </si>
  <si>
    <t>Gender and Sexuality: A Singaporean History</t>
  </si>
  <si>
    <t>GET1008</t>
  </si>
  <si>
    <t>Public Speaking and Critical Reasoning</t>
  </si>
  <si>
    <t>GET1016</t>
  </si>
  <si>
    <t>GET1020</t>
  </si>
  <si>
    <t>Darwin and Evolution</t>
  </si>
  <si>
    <t>GET1025</t>
  </si>
  <si>
    <t>Science Fiction and Philosophy</t>
  </si>
  <si>
    <t>GET1026</t>
  </si>
  <si>
    <t>Effective Reasoning</t>
  </si>
  <si>
    <t>GET1028</t>
  </si>
  <si>
    <t>Logic</t>
  </si>
  <si>
    <t>GET1029</t>
  </si>
  <si>
    <t>Life, the Universe, and Everything</t>
  </si>
  <si>
    <t>GET1030</t>
  </si>
  <si>
    <t>GET1031</t>
  </si>
  <si>
    <t>GET1044</t>
  </si>
  <si>
    <t>Hollywood Cinema: Constructing the Realistic</t>
  </si>
  <si>
    <t>GET1046</t>
  </si>
  <si>
    <t>I Do Not Think Therefore I Am</t>
  </si>
  <si>
    <t>GET1050</t>
  </si>
  <si>
    <t>GEX1000</t>
  </si>
  <si>
    <t>GEX1005</t>
  </si>
  <si>
    <t>GEX1007</t>
  </si>
  <si>
    <t>GEX1011</t>
  </si>
  <si>
    <t>GEX1012</t>
  </si>
  <si>
    <t>GEX1014</t>
  </si>
  <si>
    <t>GEX1015</t>
  </si>
  <si>
    <t>GEX1026</t>
  </si>
  <si>
    <t>GEX1031</t>
  </si>
  <si>
    <t>GL1101E</t>
  </si>
  <si>
    <t>Global Issues</t>
  </si>
  <si>
    <t>GL2101</t>
  </si>
  <si>
    <t>Origins of the Modern World</t>
  </si>
  <si>
    <t>GL2102</t>
  </si>
  <si>
    <t>Global Political Economy</t>
  </si>
  <si>
    <t>GL2104</t>
  </si>
  <si>
    <t>Inquiry and Method</t>
  </si>
  <si>
    <t>GL3201</t>
  </si>
  <si>
    <t>Doing Global Visual Culture</t>
  </si>
  <si>
    <t>GL3550</t>
  </si>
  <si>
    <t>Global Studies Internship</t>
  </si>
  <si>
    <t>GL3551</t>
  </si>
  <si>
    <t>FASS Undergraduate Research Opportunity</t>
  </si>
  <si>
    <t>GL4101</t>
  </si>
  <si>
    <t>Research in Global Issues</t>
  </si>
  <si>
    <t>GL4401</t>
  </si>
  <si>
    <t>GL4660</t>
  </si>
  <si>
    <t>GL4880A</t>
  </si>
  <si>
    <t>Globalization, Culture, and Identity</t>
  </si>
  <si>
    <t>GL4881A</t>
  </si>
  <si>
    <t>Colonial, Anticolonial and Postcolonial Globalizations</t>
  </si>
  <si>
    <t>GL4882B</t>
  </si>
  <si>
    <t>Contested Globalisation: Resistance and Resilience</t>
  </si>
  <si>
    <t>GL4882D</t>
  </si>
  <si>
    <t>Global Corporations and Power</t>
  </si>
  <si>
    <t>GL4883B</t>
  </si>
  <si>
    <t>Climate Justice</t>
  </si>
  <si>
    <t>GL4884A</t>
  </si>
  <si>
    <t>Glocal Media Worlds</t>
  </si>
  <si>
    <t>GMS5003</t>
  </si>
  <si>
    <t>Fundamentals of Health Products Regulation</t>
  </si>
  <si>
    <t>Duke-NUS Medical School</t>
  </si>
  <si>
    <t>Duke-NUS Dean's Office</t>
  </si>
  <si>
    <t>GMS5006</t>
  </si>
  <si>
    <t>Regulation of Biotherapeutics and Biosimilars</t>
  </si>
  <si>
    <t>GMS5011</t>
  </si>
  <si>
    <t>Fundamentals of Pharmaceutical Regulation</t>
  </si>
  <si>
    <t>GMS5104</t>
  </si>
  <si>
    <t>Biotherapeutics and Biosimilars</t>
  </si>
  <si>
    <t>GMS5106</t>
  </si>
  <si>
    <t>Regulation of Digital Health Products</t>
  </si>
  <si>
    <t>GMS5107</t>
  </si>
  <si>
    <t>In-Vitro Diagnostic Devices and Precision Medicine</t>
  </si>
  <si>
    <t>GMS5111</t>
  </si>
  <si>
    <t>Pharmacovigilance Principles and Frameworks</t>
  </si>
  <si>
    <t>GMS5113</t>
  </si>
  <si>
    <t>Post-market Surveillance and Enforcement</t>
  </si>
  <si>
    <t>GMS5115</t>
  </si>
  <si>
    <t>Principles and Frameworks for Pharmacovigilance</t>
  </si>
  <si>
    <t>GMS5202</t>
  </si>
  <si>
    <t>Research Methods for Health Services</t>
  </si>
  <si>
    <t>GMS5204</t>
  </si>
  <si>
    <t>Data Science + Healthcare</t>
  </si>
  <si>
    <t>GMS5301</t>
  </si>
  <si>
    <t>Principles of Learning &amp; Teaching in the Professions</t>
  </si>
  <si>
    <t>GMS5302</t>
  </si>
  <si>
    <t>Principles and Applications of Technology Enhance Learning</t>
  </si>
  <si>
    <t>GMS5312</t>
  </si>
  <si>
    <t>Immersive Learning</t>
  </si>
  <si>
    <t>GMS5313</t>
  </si>
  <si>
    <t>Serious games: Applications in healthcare</t>
  </si>
  <si>
    <t>GMS5314</t>
  </si>
  <si>
    <t>Learning Analytics and Student Performance</t>
  </si>
  <si>
    <t>GMS5315</t>
  </si>
  <si>
    <t>Implementing Online Assessments</t>
  </si>
  <si>
    <t>GMS5501</t>
  </si>
  <si>
    <t>Basics in Genetics and Genetic Testing</t>
  </si>
  <si>
    <t>GMS5502</t>
  </si>
  <si>
    <t>Application of Clinical Genetics</t>
  </si>
  <si>
    <t>GMS5503</t>
  </si>
  <si>
    <t>The role and application of Genetic Counselling</t>
  </si>
  <si>
    <t>GMS5504</t>
  </si>
  <si>
    <t>The application and use of genetic counselling - a practical approach</t>
  </si>
  <si>
    <t>GMS5803</t>
  </si>
  <si>
    <t>From Target to Treatment</t>
  </si>
  <si>
    <t>GMS5804</t>
  </si>
  <si>
    <t>De-Risking Discoveries</t>
  </si>
  <si>
    <t>GMS6800</t>
  </si>
  <si>
    <t>Integrated Biostatistics and Bioinformatics Journal Club</t>
  </si>
  <si>
    <t>GMS6801</t>
  </si>
  <si>
    <t>Study Designs in Clinical and Population Health Research</t>
  </si>
  <si>
    <t>GMS6804</t>
  </si>
  <si>
    <t>Biomedical Research Internship</t>
  </si>
  <si>
    <t>GMS6810</t>
  </si>
  <si>
    <t>Clinical and Translational Research Journal Club</t>
  </si>
  <si>
    <t>GMS6811</t>
  </si>
  <si>
    <t>Principles of Clinical Research</t>
  </si>
  <si>
    <t>GMS6812</t>
  </si>
  <si>
    <t>Foundations of Precision Medicine</t>
  </si>
  <si>
    <t>GMS6813</t>
  </si>
  <si>
    <t>Biostatistics for Clinical Research</t>
  </si>
  <si>
    <t>GMS6820</t>
  </si>
  <si>
    <t>Core Concepts in Biostatistics</t>
  </si>
  <si>
    <t>GMS6821</t>
  </si>
  <si>
    <t>R-Programming</t>
  </si>
  <si>
    <t>GMS6891</t>
  </si>
  <si>
    <t>Thesis Research (QBM Computational Biology)</t>
  </si>
  <si>
    <t>GMS6892</t>
  </si>
  <si>
    <t>Thesis Research</t>
  </si>
  <si>
    <t>GMS6895</t>
  </si>
  <si>
    <t>Thesis Research (Clinical and Translational Sciences)</t>
  </si>
  <si>
    <t>GMS6900</t>
  </si>
  <si>
    <t>Student Research Seminars</t>
  </si>
  <si>
    <t>GMS6901</t>
  </si>
  <si>
    <t>Molecules to Medicines</t>
  </si>
  <si>
    <t>GMS6902</t>
  </si>
  <si>
    <t>Laboratory Rotation 1</t>
  </si>
  <si>
    <t>GMS6903</t>
  </si>
  <si>
    <t>Laboratory Rotation 2</t>
  </si>
  <si>
    <t>GMS6906</t>
  </si>
  <si>
    <t>Laboratory Rotation 3</t>
  </si>
  <si>
    <t>GMS6907</t>
  </si>
  <si>
    <t>Applied Bioinformatics and Omics Data Analysis</t>
  </si>
  <si>
    <t>GMS6910</t>
  </si>
  <si>
    <t>Evolutionary Genetics</t>
  </si>
  <si>
    <t>GMS6920</t>
  </si>
  <si>
    <t>Metabolic Basis of Disease</t>
  </si>
  <si>
    <t>GMS6921</t>
  </si>
  <si>
    <t>Cardiovascular Molecular Biology</t>
  </si>
  <si>
    <t>GMS6950</t>
  </si>
  <si>
    <t>Health Services and Systems Research</t>
  </si>
  <si>
    <t>GMS6951</t>
  </si>
  <si>
    <t>Dynamic Modelling of Healthcare Services and Systems</t>
  </si>
  <si>
    <t>GMS6961</t>
  </si>
  <si>
    <t>Introduction to Global Health</t>
  </si>
  <si>
    <t>GMS6991</t>
  </si>
  <si>
    <t>Thesis</t>
  </si>
  <si>
    <t>GMS6992</t>
  </si>
  <si>
    <t>Thesis (HSSR)</t>
  </si>
  <si>
    <t>GS5101</t>
  </si>
  <si>
    <t>Research Immersion module</t>
  </si>
  <si>
    <t>NUS Graduate School</t>
  </si>
  <si>
    <t>NUSGS Deans Office</t>
  </si>
  <si>
    <t>GS6001</t>
  </si>
  <si>
    <t>Research Ethics and Scientific Integrity</t>
  </si>
  <si>
    <t>GS6883A</t>
  </si>
  <si>
    <t>Interface Science and Engineering</t>
  </si>
  <si>
    <t>GS6883B</t>
  </si>
  <si>
    <t>Integrative Science &amp; Engineering Research</t>
  </si>
  <si>
    <t>GS6889B</t>
  </si>
  <si>
    <t>Academic Skills and Research Ethics</t>
  </si>
  <si>
    <t>GS6889C</t>
  </si>
  <si>
    <t>Scientific Communication Primer</t>
  </si>
  <si>
    <t>HI5101</t>
  </si>
  <si>
    <t>Health Informatics and Data Visualisation</t>
  </si>
  <si>
    <t>HI5102</t>
  </si>
  <si>
    <t>How Informatics can enable 'Value Based Healthcare'</t>
  </si>
  <si>
    <t>HI5103</t>
  </si>
  <si>
    <t>Quality Improvement in Healthcare</t>
  </si>
  <si>
    <t>HI5104</t>
  </si>
  <si>
    <t>How to make the most out of EPIC</t>
  </si>
  <si>
    <t>HM5102</t>
  </si>
  <si>
    <t>Psychosis</t>
  </si>
  <si>
    <t>HM5103</t>
  </si>
  <si>
    <t>Mood, Anxiety, &amp; Grief</t>
  </si>
  <si>
    <t>HM5106</t>
  </si>
  <si>
    <t>Psychogeriatrics</t>
  </si>
  <si>
    <t>HM5107</t>
  </si>
  <si>
    <t>Personality Disorders and Psychological Therapies</t>
  </si>
  <si>
    <t>HS1301</t>
  </si>
  <si>
    <t>Workplace Communication</t>
  </si>
  <si>
    <t>HS1401A</t>
  </si>
  <si>
    <t>Career Compass I</t>
  </si>
  <si>
    <t>HS1401S</t>
  </si>
  <si>
    <t>HS1402A</t>
  </si>
  <si>
    <t>Career Compass II</t>
  </si>
  <si>
    <t>HS1402S</t>
  </si>
  <si>
    <t>HS1501</t>
  </si>
  <si>
    <t>Artificial Intelligence and Society</t>
  </si>
  <si>
    <t>HS2903</t>
  </si>
  <si>
    <t>Sporting Bodies</t>
  </si>
  <si>
    <t>Coll. of Humanities &amp; Sciences</t>
  </si>
  <si>
    <t>HS2904</t>
  </si>
  <si>
    <t>Driving Towards the Future: Battery Electric Vehicles</t>
  </si>
  <si>
    <t>HSA1000</t>
  </si>
  <si>
    <t>Asian Interconnections</t>
  </si>
  <si>
    <t>HSH1000</t>
  </si>
  <si>
    <t>The Human Condition</t>
  </si>
  <si>
    <t>HSI1000</t>
  </si>
  <si>
    <t>How Science Works, Why Science Works</t>
  </si>
  <si>
    <t>HSI2005</t>
  </si>
  <si>
    <t>Our Science Stories and You</t>
  </si>
  <si>
    <t>HSI2007</t>
  </si>
  <si>
    <t>Deconstructing Food</t>
  </si>
  <si>
    <t>HSI2010</t>
  </si>
  <si>
    <t>New Worlds Beyond Earth</t>
  </si>
  <si>
    <t>HSI2013</t>
  </si>
  <si>
    <t>The Science of Music</t>
  </si>
  <si>
    <t>HSI2014</t>
  </si>
  <si>
    <t>Science, Medical Technology and Society</t>
  </si>
  <si>
    <t>HSS1000</t>
  </si>
  <si>
    <t>Understanding Social Complexity</t>
  </si>
  <si>
    <t>HY1101E</t>
  </si>
  <si>
    <t>Asia and the Modern World</t>
  </si>
  <si>
    <t>HY2206</t>
  </si>
  <si>
    <t>China's Imperial Past: History &amp; Culture</t>
  </si>
  <si>
    <t>HY2237</t>
  </si>
  <si>
    <t>HY2258</t>
  </si>
  <si>
    <t>Passage to India: Modern Indian Society</t>
  </si>
  <si>
    <t>HY3217</t>
  </si>
  <si>
    <t>The Making of Colonial Indochina</t>
  </si>
  <si>
    <t>HY3245</t>
  </si>
  <si>
    <t>Engendering History/Historicising Gender</t>
  </si>
  <si>
    <t>HY3257</t>
  </si>
  <si>
    <t>The Philippines: A Social and Cultural History</t>
  </si>
  <si>
    <t>HY3259</t>
  </si>
  <si>
    <t>Issues in Korean Cultural History since 1945</t>
  </si>
  <si>
    <t>HY3262</t>
  </si>
  <si>
    <t>Buddhism In Southeast Asian History</t>
  </si>
  <si>
    <t>HY3551</t>
  </si>
  <si>
    <t>HY4209</t>
  </si>
  <si>
    <t>HY4218</t>
  </si>
  <si>
    <t>Approaches to Modern Japanese History</t>
  </si>
  <si>
    <t>HY4222</t>
  </si>
  <si>
    <t>Asian Business History: Case Studies</t>
  </si>
  <si>
    <t>HY4227</t>
  </si>
  <si>
    <t>Sources of Singaporean History</t>
  </si>
  <si>
    <t>HY4228</t>
  </si>
  <si>
    <t>Material Culture in History: Theory and Practice</t>
  </si>
  <si>
    <t>HY4230</t>
  </si>
  <si>
    <t>Historiography and Historical Method</t>
  </si>
  <si>
    <t>HY4239</t>
  </si>
  <si>
    <t>History of Gender in India</t>
  </si>
  <si>
    <t>HY4401</t>
  </si>
  <si>
    <t>HY4660</t>
  </si>
  <si>
    <t>HY5210</t>
  </si>
  <si>
    <t>APPROACHES TO MODERN SE ASIAN HISTORY</t>
  </si>
  <si>
    <t>HY5210R</t>
  </si>
  <si>
    <t>HY5305</t>
  </si>
  <si>
    <t>APPROACHES TO WORLD HISTORY</t>
  </si>
  <si>
    <t>HY5401</t>
  </si>
  <si>
    <t>HISTORIOGRAPHY ON CHINA</t>
  </si>
  <si>
    <t>HY5405</t>
  </si>
  <si>
    <t>Applied and Public History: Theory, Method and Practice</t>
  </si>
  <si>
    <t>HY5406</t>
  </si>
  <si>
    <t>Archives and Knowledge of the Past</t>
  </si>
  <si>
    <t>HY5407</t>
  </si>
  <si>
    <t>Theory and Practice of Oral History</t>
  </si>
  <si>
    <t>HY5408</t>
  </si>
  <si>
    <t>History and Memory</t>
  </si>
  <si>
    <t>HY5408R</t>
  </si>
  <si>
    <t>HY5414</t>
  </si>
  <si>
    <t>Master's Thesis (Coursework Program)</t>
  </si>
  <si>
    <t>HY5660</t>
  </si>
  <si>
    <t>HY6101</t>
  </si>
  <si>
    <t>HISTORIOGRAPHY: THEORY &amp; ARCHIVE</t>
  </si>
  <si>
    <t>HY6660</t>
  </si>
  <si>
    <t>ID1114</t>
  </si>
  <si>
    <t>Design Fundamentals A</t>
  </si>
  <si>
    <t>ID1115</t>
  </si>
  <si>
    <t>Design Fundamentals B</t>
  </si>
  <si>
    <t>ID1223</t>
  </si>
  <si>
    <t>Principles and Approaches to Design</t>
  </si>
  <si>
    <t>ID1300</t>
  </si>
  <si>
    <t>Introduction to Prototyping</t>
  </si>
  <si>
    <t>ID2107</t>
  </si>
  <si>
    <t>Design Platforms A</t>
  </si>
  <si>
    <t>ID2108</t>
  </si>
  <si>
    <t>Design Platforms B</t>
  </si>
  <si>
    <t>ID2114</t>
  </si>
  <si>
    <t>The Appreciation of Wood Craft</t>
  </si>
  <si>
    <t>ID2117</t>
  </si>
  <si>
    <t>The Art of Imaginative Sketching</t>
  </si>
  <si>
    <t>ID2322</t>
  </si>
  <si>
    <t>Materials and Production</t>
  </si>
  <si>
    <t>ID3041</t>
  </si>
  <si>
    <t>Special Studies</t>
  </si>
  <si>
    <t>ID3105</t>
  </si>
  <si>
    <t>Design Platforms 2</t>
  </si>
  <si>
    <t>ID3107</t>
  </si>
  <si>
    <t>Design Platforms E</t>
  </si>
  <si>
    <t>ID3108</t>
  </si>
  <si>
    <t>Design Platforms F</t>
  </si>
  <si>
    <t>ID3124</t>
  </si>
  <si>
    <t>Creative Communication &amp; Design Argumentation</t>
  </si>
  <si>
    <t>ID3125</t>
  </si>
  <si>
    <t>Colours, Materials &amp; Finishing</t>
  </si>
  <si>
    <t>ID3126</t>
  </si>
  <si>
    <t>Motion Design</t>
  </si>
  <si>
    <t>ID3127</t>
  </si>
  <si>
    <t>Transdisciplinary Innovation Project</t>
  </si>
  <si>
    <t>ID4105</t>
  </si>
  <si>
    <t>Design Platforms 4</t>
  </si>
  <si>
    <t>ID4121</t>
  </si>
  <si>
    <t>Project Research</t>
  </si>
  <si>
    <t>ID5021</t>
  </si>
  <si>
    <t>DESIGN RESEARCH</t>
  </si>
  <si>
    <t>ID5151</t>
  </si>
  <si>
    <t>DESIGN INNOVATION</t>
  </si>
  <si>
    <t>ID5351</t>
  </si>
  <si>
    <t>DESIGN STUDIES</t>
  </si>
  <si>
    <t>ID5770</t>
  </si>
  <si>
    <t>Graduate Seminar Module in Industrial Design</t>
  </si>
  <si>
    <t>ID5951</t>
  </si>
  <si>
    <t>Topics in Industrial Design</t>
  </si>
  <si>
    <t>ID5951A</t>
  </si>
  <si>
    <t>Topics in Industrial Design: Product Development</t>
  </si>
  <si>
    <t>ID5951B</t>
  </si>
  <si>
    <t>Topics in Industrial Design: Interaction Design</t>
  </si>
  <si>
    <t>ID5951C</t>
  </si>
  <si>
    <t>Topics in Industrial Design: Healthcare Design</t>
  </si>
  <si>
    <t>ID5951D</t>
  </si>
  <si>
    <t>Topics in Industrial Design: Design Education</t>
  </si>
  <si>
    <t>ID5951E</t>
  </si>
  <si>
    <t>Topics in Industrial Design: Sustainability</t>
  </si>
  <si>
    <t>ID6770</t>
  </si>
  <si>
    <t>Doctoral Seminar Module in Industrial Design</t>
  </si>
  <si>
    <t>IE1111R</t>
  </si>
  <si>
    <t>Industrial &amp; Systems Engrg Principles &amp; Practice I</t>
  </si>
  <si>
    <t>Industrial Systems Eng &amp; Mgmt</t>
  </si>
  <si>
    <t>IE2010E</t>
  </si>
  <si>
    <t>Introduction to Industrial System</t>
  </si>
  <si>
    <t>IE2110</t>
  </si>
  <si>
    <t>Operations Research I</t>
  </si>
  <si>
    <t>IE2130E</t>
  </si>
  <si>
    <t>Quality Engineering I</t>
  </si>
  <si>
    <t>IE2141</t>
  </si>
  <si>
    <t>Systems Thinking and Dynamics</t>
  </si>
  <si>
    <t>IE3100M</t>
  </si>
  <si>
    <t>System Design Project</t>
  </si>
  <si>
    <t>IE3100R</t>
  </si>
  <si>
    <t>IE3101</t>
  </si>
  <si>
    <t>Statistics For Engineering Applications</t>
  </si>
  <si>
    <t>IE3102</t>
  </si>
  <si>
    <t>Systems Engineering Project</t>
  </si>
  <si>
    <t>IE3102A</t>
  </si>
  <si>
    <t>IE3105</t>
  </si>
  <si>
    <t>Fundamentals of Systems Engineering and Architecture</t>
  </si>
  <si>
    <t>IE3110R</t>
  </si>
  <si>
    <t>Simulation</t>
  </si>
  <si>
    <t>IE4100R</t>
  </si>
  <si>
    <t>B.Eng.Dissertation</t>
  </si>
  <si>
    <t>IE4102</t>
  </si>
  <si>
    <t>IE4215</t>
  </si>
  <si>
    <t>Machine Learning for Industrial Engineering</t>
  </si>
  <si>
    <t>IE4240</t>
  </si>
  <si>
    <t>Project Management</t>
  </si>
  <si>
    <t>IE4248</t>
  </si>
  <si>
    <t>Energy and Green Economy</t>
  </si>
  <si>
    <t>IE5001</t>
  </si>
  <si>
    <t>Operations Research for Decision Making</t>
  </si>
  <si>
    <t>IE5004</t>
  </si>
  <si>
    <t>Stochastic Models and Their Applications</t>
  </si>
  <si>
    <t>IE5005</t>
  </si>
  <si>
    <t>Data Analytics for Industrial Engineers</t>
  </si>
  <si>
    <t>IE5105</t>
  </si>
  <si>
    <t>Modelling for Supply Chain Systems</t>
  </si>
  <si>
    <t>IE5123</t>
  </si>
  <si>
    <t>Reliability Engineering and Asset Management</t>
  </si>
  <si>
    <t>IE5203</t>
  </si>
  <si>
    <t>Decision Analysis</t>
  </si>
  <si>
    <t>IE5206</t>
  </si>
  <si>
    <t>Energy and Sustainability: A Systems Approach</t>
  </si>
  <si>
    <t>IE5208</t>
  </si>
  <si>
    <t>Systems Approach To Project Management</t>
  </si>
  <si>
    <t>IE5213</t>
  </si>
  <si>
    <t>Service Innovation And Management</t>
  </si>
  <si>
    <t>IE5231</t>
  </si>
  <si>
    <t>Statistical Methods for Process Design &amp; Control</t>
  </si>
  <si>
    <t>IE5301</t>
  </si>
  <si>
    <t>Human Factors In Engineering And Design</t>
  </si>
  <si>
    <t>IE5600</t>
  </si>
  <si>
    <t>Applied Programming for Industrial Systems</t>
  </si>
  <si>
    <t>IE5666</t>
  </si>
  <si>
    <t>IE5903</t>
  </si>
  <si>
    <t>Independent Study in PM</t>
  </si>
  <si>
    <t>IE5904A</t>
  </si>
  <si>
    <t>Research Project in Project Management I</t>
  </si>
  <si>
    <t>IE5905</t>
  </si>
  <si>
    <t>Independent Study In Systems Engineering</t>
  </si>
  <si>
    <t>IE5906A</t>
  </si>
  <si>
    <t>Research Project in Systems Engineering I</t>
  </si>
  <si>
    <t>IE5907</t>
  </si>
  <si>
    <t>Independent Study in Operations Research</t>
  </si>
  <si>
    <t>IE5908A</t>
  </si>
  <si>
    <t>Research Project in Operations Research I</t>
  </si>
  <si>
    <t>IE5909A</t>
  </si>
  <si>
    <t>Research Project in Industrial &amp; System Engineering I</t>
  </si>
  <si>
    <t>IE5999</t>
  </si>
  <si>
    <t>IE6001</t>
  </si>
  <si>
    <t>Foundations of Optimization</t>
  </si>
  <si>
    <t>IE6002</t>
  </si>
  <si>
    <t>ADVANCED ENGINEERING STATISTICS</t>
  </si>
  <si>
    <t>IE6999</t>
  </si>
  <si>
    <t>IFS4103</t>
  </si>
  <si>
    <t>Penetration Testing Practice</t>
  </si>
  <si>
    <t>IFS4205</t>
  </si>
  <si>
    <t>Information Security Capstone Project.</t>
  </si>
  <si>
    <t>IGL3550</t>
  </si>
  <si>
    <t>Extended Global Studies Internship</t>
  </si>
  <si>
    <t>IND5001</t>
  </si>
  <si>
    <t>Introduction to Industry 4.0 and Applications</t>
  </si>
  <si>
    <t>IND5002</t>
  </si>
  <si>
    <t>Digital-Physical Integration in Industry 4.0</t>
  </si>
  <si>
    <t>Mechanical Engineering</t>
  </si>
  <si>
    <t>IND5003</t>
  </si>
  <si>
    <t>Data Analytics for Sense-making</t>
  </si>
  <si>
    <t>IND5005</t>
  </si>
  <si>
    <t>Industry Consulting and Application Project</t>
  </si>
  <si>
    <t>IND5005A</t>
  </si>
  <si>
    <t>Professional Career Development</t>
  </si>
  <si>
    <t>IND5005B</t>
  </si>
  <si>
    <t>IND5022</t>
  </si>
  <si>
    <t>Data Analytics for Smart Manufacturing</t>
  </si>
  <si>
    <t>IND5024</t>
  </si>
  <si>
    <t>Strategic Procurement in a Digital World</t>
  </si>
  <si>
    <t>INT2101</t>
  </si>
  <si>
    <t>Basic Interpreting</t>
  </si>
  <si>
    <t>INT3202</t>
  </si>
  <si>
    <t>Consecutive Interpreting</t>
  </si>
  <si>
    <t>IPM1102</t>
  </si>
  <si>
    <t>Infrastructure and Project Management Law</t>
  </si>
  <si>
    <t>IPM2102</t>
  </si>
  <si>
    <t>Construction Technology</t>
  </si>
  <si>
    <t>IPM4201</t>
  </si>
  <si>
    <t>Smart Facility Management Robotics</t>
  </si>
  <si>
    <t>IPS3550</t>
  </si>
  <si>
    <t>EXTENDED POLITICAL SCIENCE INTERNSHIP</t>
  </si>
  <si>
    <t>IS1108</t>
  </si>
  <si>
    <t>Digital Ethics and Data Privacy</t>
  </si>
  <si>
    <t>IS1128</t>
  </si>
  <si>
    <t>IT, Management and Organisation</t>
  </si>
  <si>
    <t>IS2101</t>
  </si>
  <si>
    <t>Business and Technical Communication</t>
  </si>
  <si>
    <t>IS2102</t>
  </si>
  <si>
    <t>Enterprise Systems Architecture and Design</t>
  </si>
  <si>
    <t>IS2103</t>
  </si>
  <si>
    <t>Enterprise Systems Server-side Design and Development</t>
  </si>
  <si>
    <t>IS2218</t>
  </si>
  <si>
    <t>Digital Platforms for Business</t>
  </si>
  <si>
    <t>IS2238</t>
  </si>
  <si>
    <t>Economics of IT and AI</t>
  </si>
  <si>
    <t>IS3103</t>
  </si>
  <si>
    <t>Information Systems Leadership and Communication</t>
  </si>
  <si>
    <t>IS3106</t>
  </si>
  <si>
    <t>Enterprise Systems Interface Design and Development</t>
  </si>
  <si>
    <t>IS3107</t>
  </si>
  <si>
    <t>Data Engineering</t>
  </si>
  <si>
    <t>IS3150</t>
  </si>
  <si>
    <t>Digital Media Marketing</t>
  </si>
  <si>
    <t>IS3221</t>
  </si>
  <si>
    <t>ERP Systems with Analytics Solutions</t>
  </si>
  <si>
    <t>IS3251</t>
  </si>
  <si>
    <t>Principles of Technology Entrepreneurship</t>
  </si>
  <si>
    <t>IS4010</t>
  </si>
  <si>
    <t>Industry Internship Programme</t>
  </si>
  <si>
    <t>IS4100</t>
  </si>
  <si>
    <t>IT Project Management</t>
  </si>
  <si>
    <t>IS4103</t>
  </si>
  <si>
    <t>Information Systems Capstone Project</t>
  </si>
  <si>
    <t>IS4204</t>
  </si>
  <si>
    <t>IT Governance</t>
  </si>
  <si>
    <t>IS4226</t>
  </si>
  <si>
    <t>Systematic Trading Strategies and Systems</t>
  </si>
  <si>
    <t>IS4228</t>
  </si>
  <si>
    <t>Information Technologies in Financial Services</t>
  </si>
  <si>
    <t>IS4233</t>
  </si>
  <si>
    <t>Legal Aspects of Information Technology</t>
  </si>
  <si>
    <t>IS4234</t>
  </si>
  <si>
    <t>Compliance and Regulation Technology</t>
  </si>
  <si>
    <t>IS4261</t>
  </si>
  <si>
    <t>Designing IT-enabled Business Innovations</t>
  </si>
  <si>
    <t>IS4301</t>
  </si>
  <si>
    <t>Agile IT with DevOps</t>
  </si>
  <si>
    <t>IS5005</t>
  </si>
  <si>
    <t>Digital Engagement</t>
  </si>
  <si>
    <t>IS5007</t>
  </si>
  <si>
    <t>Strategising for Global IT-enabled Business Success</t>
  </si>
  <si>
    <t>IS5116</t>
  </si>
  <si>
    <t>Digital Entrepreneurship</t>
  </si>
  <si>
    <t>IS5126</t>
  </si>
  <si>
    <t>Hands-on with Applied Analytics</t>
  </si>
  <si>
    <t>IS5128</t>
  </si>
  <si>
    <t>Digital Innovation</t>
  </si>
  <si>
    <t>IS6000</t>
  </si>
  <si>
    <t>Topics in Information Systems and Analytics Research</t>
  </si>
  <si>
    <t>IS6002</t>
  </si>
  <si>
    <t>Quantitative Methods for IS Research</t>
  </si>
  <si>
    <t>IS6101</t>
  </si>
  <si>
    <t>Topics in Machine Learning and Optimization</t>
  </si>
  <si>
    <t>ISD5101</t>
  </si>
  <si>
    <t>Integrated Studio Project 1</t>
  </si>
  <si>
    <t>ISD5103</t>
  </si>
  <si>
    <t>Green Buildings in the Tropics</t>
  </si>
  <si>
    <t>ISD5104</t>
  </si>
  <si>
    <t>Energy and Ecology</t>
  </si>
  <si>
    <t>ISE3550</t>
  </si>
  <si>
    <t>Extended Internship</t>
  </si>
  <si>
    <t>ISY5001</t>
  </si>
  <si>
    <t>Intelligent Reasoning Systems</t>
  </si>
  <si>
    <t>ISY5001G</t>
  </si>
  <si>
    <t>ISY5002</t>
  </si>
  <si>
    <t>Pattern Recognition Systems</t>
  </si>
  <si>
    <t>ISY5002G</t>
  </si>
  <si>
    <t>ISY5003</t>
  </si>
  <si>
    <t>Intelligent Robotic Systems</t>
  </si>
  <si>
    <t>ISY5004</t>
  </si>
  <si>
    <t>Intelligent Sensing Systems</t>
  </si>
  <si>
    <t>ISY5005</t>
  </si>
  <si>
    <t>Intelligent Software Agents</t>
  </si>
  <si>
    <t>ISY5007</t>
  </si>
  <si>
    <t>Capstone Project in Intelligent Systems</t>
  </si>
  <si>
    <t>IT1244</t>
  </si>
  <si>
    <t>Artificial Intelligence: Technology and Impact</t>
  </si>
  <si>
    <t>IT2900</t>
  </si>
  <si>
    <t>Technical Management and Leadership</t>
  </si>
  <si>
    <t>IT3010</t>
  </si>
  <si>
    <t>Data Management for Business Analytics</t>
  </si>
  <si>
    <t>IT5001</t>
  </si>
  <si>
    <t>Software Development Fundamentals</t>
  </si>
  <si>
    <t>IT5002</t>
  </si>
  <si>
    <t>Computer Systems and Applications</t>
  </si>
  <si>
    <t>IT5003</t>
  </si>
  <si>
    <t>IT5004</t>
  </si>
  <si>
    <t>Enterprise Systems Architecture Fundamentals</t>
  </si>
  <si>
    <t>IT5005</t>
  </si>
  <si>
    <t>Artificial Intelligence</t>
  </si>
  <si>
    <t>IT5007</t>
  </si>
  <si>
    <t>Software Engineering on Application Architecture</t>
  </si>
  <si>
    <t>IT5100C</t>
  </si>
  <si>
    <t>Database Modelling and Programming</t>
  </si>
  <si>
    <t>JS1101E</t>
  </si>
  <si>
    <t>Introduction to Japan</t>
  </si>
  <si>
    <t>JS2101</t>
  </si>
  <si>
    <t>Approaches to Japanese Studies I</t>
  </si>
  <si>
    <t>JS2214</t>
  </si>
  <si>
    <t>Ideas and Images in Japanese Culture</t>
  </si>
  <si>
    <t>JS2216</t>
  </si>
  <si>
    <t>Postwar Japanese Film and Anime</t>
  </si>
  <si>
    <t>JS3101</t>
  </si>
  <si>
    <t>Approaches to Japanese Studies II</t>
  </si>
  <si>
    <t>JS3213</t>
  </si>
  <si>
    <t>Alternative Lives in Contemporary Japan</t>
  </si>
  <si>
    <t>JS3222</t>
  </si>
  <si>
    <t>Japanese Business Management</t>
  </si>
  <si>
    <t>JS3230</t>
  </si>
  <si>
    <t>Men and Women in Modern Japanese Literature</t>
  </si>
  <si>
    <t>JS4213</t>
  </si>
  <si>
    <t>JS4217</t>
  </si>
  <si>
    <t>Selected Topics in Japanese Studies</t>
  </si>
  <si>
    <t>JS4225</t>
  </si>
  <si>
    <t>Social Dynamics in Modern Japan</t>
  </si>
  <si>
    <t>JS4230</t>
  </si>
  <si>
    <t>Advanced Readings in Popular Culture</t>
  </si>
  <si>
    <t>JS4401</t>
  </si>
  <si>
    <t>JS4660</t>
  </si>
  <si>
    <t>JS5204</t>
  </si>
  <si>
    <t>CONTEMPORARY JAPANESE SOCIAL ISSUES</t>
  </si>
  <si>
    <t>JS6660</t>
  </si>
  <si>
    <t>LA4202</t>
  </si>
  <si>
    <t>Planting Design</t>
  </si>
  <si>
    <t>LA4301</t>
  </si>
  <si>
    <t>Material and Design</t>
  </si>
  <si>
    <t>LA4701</t>
  </si>
  <si>
    <t>MLA Studio: Quarter</t>
  </si>
  <si>
    <t>LA5201</t>
  </si>
  <si>
    <t>Policy of Landscape</t>
  </si>
  <si>
    <t>LA5222</t>
  </si>
  <si>
    <t>Urban Ecology and Design</t>
  </si>
  <si>
    <t>LA5301</t>
  </si>
  <si>
    <t>Geo Design</t>
  </si>
  <si>
    <t>LA5701</t>
  </si>
  <si>
    <t>MLA Studio: Country</t>
  </si>
  <si>
    <t>LA5742A</t>
  </si>
  <si>
    <t>Dissertation Preparation</t>
  </si>
  <si>
    <t>LAB1201</t>
  </si>
  <si>
    <t>Bahasa Indonesia 1</t>
  </si>
  <si>
    <t>LAB2201</t>
  </si>
  <si>
    <t>Bahasa Indonesia 2</t>
  </si>
  <si>
    <t>LAB3201</t>
  </si>
  <si>
    <t>Bahasa Indonesia 3</t>
  </si>
  <si>
    <t>LAB3202</t>
  </si>
  <si>
    <t>Bahasa Indonesia 4</t>
  </si>
  <si>
    <t>LAB4201</t>
  </si>
  <si>
    <t>Bahasa Indonesia 5</t>
  </si>
  <si>
    <t>LAB4201HM</t>
  </si>
  <si>
    <t>LAC1201</t>
  </si>
  <si>
    <t>Chinese 1</t>
  </si>
  <si>
    <t>LAC2201</t>
  </si>
  <si>
    <t>Chinese 2</t>
  </si>
  <si>
    <t>LAC3201</t>
  </si>
  <si>
    <t>Chinese 3</t>
  </si>
  <si>
    <t>LAC3202</t>
  </si>
  <si>
    <t>Chinese 4</t>
  </si>
  <si>
    <t>LAC3204</t>
  </si>
  <si>
    <t>Chinese for Business &amp; Social Sciences</t>
  </si>
  <si>
    <t>LAC4201</t>
  </si>
  <si>
    <t>Chinese 5</t>
  </si>
  <si>
    <t>LAC4201HM</t>
  </si>
  <si>
    <t>LAD1001</t>
  </si>
  <si>
    <t>Design 1</t>
  </si>
  <si>
    <t>LAD1002</t>
  </si>
  <si>
    <t>Design 2</t>
  </si>
  <si>
    <t>LAD1003</t>
  </si>
  <si>
    <t>Introduction to Landscape Architecture</t>
  </si>
  <si>
    <t>LAD2001</t>
  </si>
  <si>
    <t>LAD2003</t>
  </si>
  <si>
    <t>Landscape Construction I</t>
  </si>
  <si>
    <t>LAD2004</t>
  </si>
  <si>
    <t>Planting Design and Horticulture</t>
  </si>
  <si>
    <t>LAD2005</t>
  </si>
  <si>
    <t>Introductory GIS for Landscape Architecture</t>
  </si>
  <si>
    <t>LAD2006</t>
  </si>
  <si>
    <t>LAD3001</t>
  </si>
  <si>
    <t>LAD3004</t>
  </si>
  <si>
    <t>Landscape Representation Techniques</t>
  </si>
  <si>
    <t>LAD3006</t>
  </si>
  <si>
    <t>Basics of Ecology</t>
  </si>
  <si>
    <t>LAD4004</t>
  </si>
  <si>
    <t>GeoDesign</t>
  </si>
  <si>
    <t>LAD4006</t>
  </si>
  <si>
    <t>Digital Techniques In Landscape Architecture</t>
  </si>
  <si>
    <t>LAD4007</t>
  </si>
  <si>
    <t>Political Eco and Land</t>
  </si>
  <si>
    <t>LAD4008</t>
  </si>
  <si>
    <t>Design 7 (Emphasies on Ecological Design)</t>
  </si>
  <si>
    <t>LAF1201</t>
  </si>
  <si>
    <t>French 1</t>
  </si>
  <si>
    <t>LAF2201</t>
  </si>
  <si>
    <t>French 2</t>
  </si>
  <si>
    <t>LAF3201</t>
  </si>
  <si>
    <t>French 3</t>
  </si>
  <si>
    <t>LAF3202</t>
  </si>
  <si>
    <t>French 4</t>
  </si>
  <si>
    <t>LAF4201</t>
  </si>
  <si>
    <t>French 5</t>
  </si>
  <si>
    <t>LAF4201HM</t>
  </si>
  <si>
    <t>LAF4202</t>
  </si>
  <si>
    <t>French 6</t>
  </si>
  <si>
    <t>LAF4202HM</t>
  </si>
  <si>
    <t>LAF4203</t>
  </si>
  <si>
    <t>French Language and Society</t>
  </si>
  <si>
    <t>LAF4203HM</t>
  </si>
  <si>
    <t>LAG1201</t>
  </si>
  <si>
    <t>German 1</t>
  </si>
  <si>
    <t>LAG2201</t>
  </si>
  <si>
    <t>German 2</t>
  </si>
  <si>
    <t>LAG3201</t>
  </si>
  <si>
    <t>German 3</t>
  </si>
  <si>
    <t>LAG4201</t>
  </si>
  <si>
    <t>German 5</t>
  </si>
  <si>
    <t>LAG4201HM</t>
  </si>
  <si>
    <t>LAH1201</t>
  </si>
  <si>
    <t>Hindi 1</t>
  </si>
  <si>
    <t>LAH2201</t>
  </si>
  <si>
    <t>Hindi 2</t>
  </si>
  <si>
    <t>LAH3201</t>
  </si>
  <si>
    <t>Hindi 3</t>
  </si>
  <si>
    <t>LAJ1201</t>
  </si>
  <si>
    <t>Japanese 1</t>
  </si>
  <si>
    <t>LAJ2201</t>
  </si>
  <si>
    <t>Japanese 2</t>
  </si>
  <si>
    <t>LAJ2202</t>
  </si>
  <si>
    <t>Japanese 3</t>
  </si>
  <si>
    <t>LAJ2203</t>
  </si>
  <si>
    <t>Japanese 4</t>
  </si>
  <si>
    <t>LAJ3201</t>
  </si>
  <si>
    <t>Japanese 5</t>
  </si>
  <si>
    <t>LAJ3202</t>
  </si>
  <si>
    <t>Japanese 6</t>
  </si>
  <si>
    <t>LAJ4205</t>
  </si>
  <si>
    <t>Japanese for Contemporary Society</t>
  </si>
  <si>
    <t>LAJ4205HM</t>
  </si>
  <si>
    <t>LAK1201</t>
  </si>
  <si>
    <t>Korean 1</t>
  </si>
  <si>
    <t>LAK2201</t>
  </si>
  <si>
    <t>Korean 2</t>
  </si>
  <si>
    <t>LAK3201</t>
  </si>
  <si>
    <t>Korean 3</t>
  </si>
  <si>
    <t>LAK4201</t>
  </si>
  <si>
    <t>Korean 5</t>
  </si>
  <si>
    <t>LAK4201HM</t>
  </si>
  <si>
    <t>LAK4203</t>
  </si>
  <si>
    <t>Korean 7</t>
  </si>
  <si>
    <t>LAK4203HM</t>
  </si>
  <si>
    <t>LAL1201</t>
  </si>
  <si>
    <t>Tamil 1</t>
  </si>
  <si>
    <t>LAM1201</t>
  </si>
  <si>
    <t>Malay 1</t>
  </si>
  <si>
    <t>LAM2201</t>
  </si>
  <si>
    <t>Malay 2</t>
  </si>
  <si>
    <t>LAM3201</t>
  </si>
  <si>
    <t>Malay 3</t>
  </si>
  <si>
    <t>LAM3202</t>
  </si>
  <si>
    <t>Malay 4</t>
  </si>
  <si>
    <t>LAM4201</t>
  </si>
  <si>
    <t>Malay 5</t>
  </si>
  <si>
    <t>LAM4201HM</t>
  </si>
  <si>
    <t>LAR1201</t>
  </si>
  <si>
    <t>Arabic 1</t>
  </si>
  <si>
    <t>LAR2201</t>
  </si>
  <si>
    <t>Arabic 2</t>
  </si>
  <si>
    <t>LAR3201</t>
  </si>
  <si>
    <t>Arabic 3</t>
  </si>
  <si>
    <t>LAR4201</t>
  </si>
  <si>
    <t>Arabic 5</t>
  </si>
  <si>
    <t>LAR4201HM</t>
  </si>
  <si>
    <t>LAS1201</t>
  </si>
  <si>
    <t>Spanish 1</t>
  </si>
  <si>
    <t>LAS2201</t>
  </si>
  <si>
    <t>Spanish 2</t>
  </si>
  <si>
    <t>LAS3201</t>
  </si>
  <si>
    <t>Spanish 3</t>
  </si>
  <si>
    <t>LAS4201</t>
  </si>
  <si>
    <t>Spanish 5</t>
  </si>
  <si>
    <t>LAS4201HM</t>
  </si>
  <si>
    <t>LAT1201</t>
  </si>
  <si>
    <t>Thai 1</t>
  </si>
  <si>
    <t>LAT2201</t>
  </si>
  <si>
    <t>Thai 2</t>
  </si>
  <si>
    <t>LAT3201</t>
  </si>
  <si>
    <t>Thai 3</t>
  </si>
  <si>
    <t>LAT3202</t>
  </si>
  <si>
    <t>Thai 4</t>
  </si>
  <si>
    <t>LAT4201</t>
  </si>
  <si>
    <t>Thai 5</t>
  </si>
  <si>
    <t>LAT4201HM</t>
  </si>
  <si>
    <t>LAT4203</t>
  </si>
  <si>
    <t>Analysing Thai Media</t>
  </si>
  <si>
    <t>LAT4203HM</t>
  </si>
  <si>
    <t>LAV1201</t>
  </si>
  <si>
    <t>Vietnamese 1</t>
  </si>
  <si>
    <t>LAV2201</t>
  </si>
  <si>
    <t>Vietnamese 2</t>
  </si>
  <si>
    <t>LAV3201</t>
  </si>
  <si>
    <t>Vietnamese 3</t>
  </si>
  <si>
    <t>LAV4201</t>
  </si>
  <si>
    <t>Vietnamese 5</t>
  </si>
  <si>
    <t>LAV4201HM</t>
  </si>
  <si>
    <t>LC1003</t>
  </si>
  <si>
    <t>Law Of Contract</t>
  </si>
  <si>
    <t>Faculty of Law</t>
  </si>
  <si>
    <t>FoL Dean's Office</t>
  </si>
  <si>
    <t>LC1004</t>
  </si>
  <si>
    <t>Law Of Torts</t>
  </si>
  <si>
    <t>LC1016</t>
  </si>
  <si>
    <t>Legal Analysis, Research &amp; Communication</t>
  </si>
  <si>
    <t>LC1025</t>
  </si>
  <si>
    <t>Singapore Law in Context</t>
  </si>
  <si>
    <t>LC2004</t>
  </si>
  <si>
    <t>Principles Of Property Law</t>
  </si>
  <si>
    <t>LC2008A</t>
  </si>
  <si>
    <t>Company Law (A)</t>
  </si>
  <si>
    <t>LC2008B</t>
  </si>
  <si>
    <t>Company Law (B)</t>
  </si>
  <si>
    <t>LC2008C</t>
  </si>
  <si>
    <t>Company Law (C)</t>
  </si>
  <si>
    <t>LC2008D</t>
  </si>
  <si>
    <t>Company Law (D)</t>
  </si>
  <si>
    <t>LC2008E</t>
  </si>
  <si>
    <t>Company Law (E)</t>
  </si>
  <si>
    <t>LC2008F</t>
  </si>
  <si>
    <t>Company Law (F)</t>
  </si>
  <si>
    <t>LC2008G</t>
  </si>
  <si>
    <t>Company Law (G)</t>
  </si>
  <si>
    <t>LC2008H</t>
  </si>
  <si>
    <t>Company Law (H)</t>
  </si>
  <si>
    <t>LC2009</t>
  </si>
  <si>
    <t>Pro Bono Service</t>
  </si>
  <si>
    <t>LC2010A</t>
  </si>
  <si>
    <t>Legal Systems of Asia (A)</t>
  </si>
  <si>
    <t>LC2010B</t>
  </si>
  <si>
    <t>Legal Systems of Asia (B)</t>
  </si>
  <si>
    <t>LC2010C</t>
  </si>
  <si>
    <t>Legal Systems of Asia (C)</t>
  </si>
  <si>
    <t>LC2010D</t>
  </si>
  <si>
    <t>Legal Systems of Asia (D)</t>
  </si>
  <si>
    <t>LC2010G</t>
  </si>
  <si>
    <t>Legal Systems of Asia (G)</t>
  </si>
  <si>
    <t>LC2010H</t>
  </si>
  <si>
    <t>Legal Systems of Asia (H)</t>
  </si>
  <si>
    <t>LC3001A</t>
  </si>
  <si>
    <t>Evidence (A)</t>
  </si>
  <si>
    <t>LC5010A</t>
  </si>
  <si>
    <t>LC5050V</t>
  </si>
  <si>
    <t>Public International Law</t>
  </si>
  <si>
    <t>LC5070V</t>
  </si>
  <si>
    <t>Foundations Of Intellectual Property Law</t>
  </si>
  <si>
    <t>LC5204AV</t>
  </si>
  <si>
    <t>Carriage of Goods By Sea</t>
  </si>
  <si>
    <t>LC5230</t>
  </si>
  <si>
    <t>Elements of Company Law</t>
  </si>
  <si>
    <t>LC5262</t>
  </si>
  <si>
    <t>International Commercial Arbitration</t>
  </si>
  <si>
    <t>LC5285V</t>
  </si>
  <si>
    <t>International Dispute Settlement</t>
  </si>
  <si>
    <t>LC5336</t>
  </si>
  <si>
    <t>Topics in Int'l Arbitration &amp; Dispute Resolution</t>
  </si>
  <si>
    <t>LC5337</t>
  </si>
  <si>
    <t>Singapore Common Law of Contract</t>
  </si>
  <si>
    <t>LC5405A</t>
  </si>
  <si>
    <t>LAW OF INTELLECTUAL PROPERTY (A)</t>
  </si>
  <si>
    <t>LC6378</t>
  </si>
  <si>
    <t>Doctoral Workshop</t>
  </si>
  <si>
    <t>LCC5366</t>
  </si>
  <si>
    <t>Law of Evidence &amp; Sentencing Law</t>
  </si>
  <si>
    <t>LCC5466</t>
  </si>
  <si>
    <t>Fundamentals of Legal Reasoning</t>
  </si>
  <si>
    <t>LCC5467</t>
  </si>
  <si>
    <t>Criminal Law</t>
  </si>
  <si>
    <t>LCC5468</t>
  </si>
  <si>
    <t>Sentencing Law</t>
  </si>
  <si>
    <t>LCD5204AV</t>
  </si>
  <si>
    <t>LCJ5003</t>
  </si>
  <si>
    <t>LCJ5004</t>
  </si>
  <si>
    <t>LCJ5008</t>
  </si>
  <si>
    <t>Company Law</t>
  </si>
  <si>
    <t>LCJ5009</t>
  </si>
  <si>
    <t>LCJ5010</t>
  </si>
  <si>
    <t>Legal Systems of Asia</t>
  </si>
  <si>
    <t>LCJ5011</t>
  </si>
  <si>
    <t>Evidence</t>
  </si>
  <si>
    <t>LCJ5014</t>
  </si>
  <si>
    <t>LCJ5015</t>
  </si>
  <si>
    <t>LCJ5016</t>
  </si>
  <si>
    <t>LCJ5025</t>
  </si>
  <si>
    <t>LI5001</t>
  </si>
  <si>
    <t>The Logistics Inst-Asia Pac</t>
  </si>
  <si>
    <t>The Logistics Inst - Asia Pac</t>
  </si>
  <si>
    <t>LI5101</t>
  </si>
  <si>
    <t>Supply Chain Mgt Thinking &amp; Practice</t>
  </si>
  <si>
    <t>LI5201</t>
  </si>
  <si>
    <t>Special Topics in Logistics</t>
  </si>
  <si>
    <t>LL4002V</t>
  </si>
  <si>
    <t>Admiralty Law &amp; Practice</t>
  </si>
  <si>
    <t>LL4004V</t>
  </si>
  <si>
    <t>Aviation Law &amp; Policy</t>
  </si>
  <si>
    <t>LL4006V</t>
  </si>
  <si>
    <t>Banking Law</t>
  </si>
  <si>
    <t>LL4007</t>
  </si>
  <si>
    <t>Biotechnology Law</t>
  </si>
  <si>
    <t>LL4008AV</t>
  </si>
  <si>
    <t>LL4009V</t>
  </si>
  <si>
    <t>Modern Chinese Law &amp; Legal Chinese</t>
  </si>
  <si>
    <t>LL4019V</t>
  </si>
  <si>
    <t>Credit &amp; Security</t>
  </si>
  <si>
    <t>LL4029</t>
  </si>
  <si>
    <t>LL4029V</t>
  </si>
  <si>
    <t>LL4031V</t>
  </si>
  <si>
    <t xml:space="preserve">International  Environmental Law &amp; Policy</t>
  </si>
  <si>
    <t>LL4032</t>
  </si>
  <si>
    <t>International Investment Law</t>
  </si>
  <si>
    <t>LL4033V</t>
  </si>
  <si>
    <t>International Legal Process</t>
  </si>
  <si>
    <t>LL4045V</t>
  </si>
  <si>
    <t>Negotiation</t>
  </si>
  <si>
    <t>LL4050V</t>
  </si>
  <si>
    <t>LL4056BV</t>
  </si>
  <si>
    <t>Tax Planning And Policy</t>
  </si>
  <si>
    <t>LL4060B</t>
  </si>
  <si>
    <t>World Trade Law</t>
  </si>
  <si>
    <t>LL4063V</t>
  </si>
  <si>
    <t>Business &amp; Finance For Lawyers</t>
  </si>
  <si>
    <t>LL4064V</t>
  </si>
  <si>
    <t>Competition Law and Policy</t>
  </si>
  <si>
    <t>LL4070V</t>
  </si>
  <si>
    <t>LL4073V</t>
  </si>
  <si>
    <t>International Criminal Law</t>
  </si>
  <si>
    <t>LL4094AV</t>
  </si>
  <si>
    <t>The Corporate Law Clinic</t>
  </si>
  <si>
    <t>LL4094BV</t>
  </si>
  <si>
    <t>NUS-State Courts Judicial Clerkship Programme</t>
  </si>
  <si>
    <t>LL4094CV</t>
  </si>
  <si>
    <t>The Access to Justice Low Bono Litigation Clinic</t>
  </si>
  <si>
    <t>LL4094DV</t>
  </si>
  <si>
    <t>The Pro Bono Criminal Law Litigation Clinic</t>
  </si>
  <si>
    <t>LL4094EV</t>
  </si>
  <si>
    <t>The Capital Offences Criminal Litigation Clinic</t>
  </si>
  <si>
    <t>LL4094FV</t>
  </si>
  <si>
    <t>The Evolving Legal Landscapes Clinic</t>
  </si>
  <si>
    <t>LL4094GV</t>
  </si>
  <si>
    <t>NUS Entrepreneurship Society Collaboration Clinic</t>
  </si>
  <si>
    <t>LL4094V</t>
  </si>
  <si>
    <t>The Pro Bono Family Law Litigation Clinic</t>
  </si>
  <si>
    <t>LL4109V</t>
  </si>
  <si>
    <t>International Law &amp; Asia</t>
  </si>
  <si>
    <t>LL4164V</t>
  </si>
  <si>
    <t>International Projects Law &amp; Practice</t>
  </si>
  <si>
    <t>LL4187</t>
  </si>
  <si>
    <t>Philosophical Foundations of Contract Law</t>
  </si>
  <si>
    <t>LL4191</t>
  </si>
  <si>
    <t>Wealth Management Law</t>
  </si>
  <si>
    <t>LL4203</t>
  </si>
  <si>
    <t>International Moots and Other Competitions</t>
  </si>
  <si>
    <t>LL4203A</t>
  </si>
  <si>
    <t>LL4203B</t>
  </si>
  <si>
    <t>LL4203C</t>
  </si>
  <si>
    <t>LL4214</t>
  </si>
  <si>
    <t>International and Comparative Oil and Gas Law</t>
  </si>
  <si>
    <t>LL4219</t>
  </si>
  <si>
    <t>The Trial of Jesus in Western Legal Thought</t>
  </si>
  <si>
    <t>LL4237V</t>
  </si>
  <si>
    <t>Law, Institutions, and Business in Greater China</t>
  </si>
  <si>
    <t>LL4244V</t>
  </si>
  <si>
    <t>CRIMINAL PRACTICE</t>
  </si>
  <si>
    <t>LL4251V</t>
  </si>
  <si>
    <t>International Humanitarian Law</t>
  </si>
  <si>
    <t>LL4276</t>
  </si>
  <si>
    <t>Advanced Contract Law</t>
  </si>
  <si>
    <t>LL4285V</t>
  </si>
  <si>
    <t>LL4287V</t>
  </si>
  <si>
    <t>ASEAN Law and Policy</t>
  </si>
  <si>
    <t>LL4292V</t>
  </si>
  <si>
    <t>State Responsibility: Theory and Practice</t>
  </si>
  <si>
    <t>LL4320</t>
  </si>
  <si>
    <t>International Space Law</t>
  </si>
  <si>
    <t>LL4322V</t>
  </si>
  <si>
    <t>Trade Finance Law</t>
  </si>
  <si>
    <t>LL4328</t>
  </si>
  <si>
    <t>Sports Law &amp; Arbitration</t>
  </si>
  <si>
    <t>LL4335V</t>
  </si>
  <si>
    <t>Multinational Enterprises and International Law</t>
  </si>
  <si>
    <t>LL4342V</t>
  </si>
  <si>
    <t>Taxation of Cross-Border Commercial Transactions I</t>
  </si>
  <si>
    <t>LL4359Z</t>
  </si>
  <si>
    <t>SIAC and Institutional Arbitration</t>
  </si>
  <si>
    <t>LL4382V</t>
  </si>
  <si>
    <t>Private International Law</t>
  </si>
  <si>
    <t>LL4383Z</t>
  </si>
  <si>
    <t>International Arbitration &amp; the New York Convention</t>
  </si>
  <si>
    <t>LL4396</t>
  </si>
  <si>
    <t>University Research Opportunities Program</t>
  </si>
  <si>
    <t>LL4397</t>
  </si>
  <si>
    <t>LL4398</t>
  </si>
  <si>
    <t>LL4405A</t>
  </si>
  <si>
    <t>LL4407</t>
  </si>
  <si>
    <t>Law Of Insurance</t>
  </si>
  <si>
    <t>LL4433V</t>
  </si>
  <si>
    <t>Global Data Privacy Law</t>
  </si>
  <si>
    <t>LL4436V</t>
  </si>
  <si>
    <t>Family Law and Practice</t>
  </si>
  <si>
    <t>LL4454V</t>
  </si>
  <si>
    <t>Commercial Conflict of Laws</t>
  </si>
  <si>
    <t>LL4463V</t>
  </si>
  <si>
    <t>National Arts Council Externship</t>
  </si>
  <si>
    <t>LL4464</t>
  </si>
  <si>
    <t>Principles of Port Finance and Regulation</t>
  </si>
  <si>
    <t>LL4465</t>
  </si>
  <si>
    <t>International Geographical Indications Protection (IP)</t>
  </si>
  <si>
    <t>LL4471</t>
  </si>
  <si>
    <t>Ethical Digital Governance and Legal Society</t>
  </si>
  <si>
    <t>LL4472</t>
  </si>
  <si>
    <t>The Belt &amp; Road Initiative &amp; Intl Trade Governance</t>
  </si>
  <si>
    <t>LL4473</t>
  </si>
  <si>
    <t>International Energy Law</t>
  </si>
  <si>
    <t>LL4474</t>
  </si>
  <si>
    <t>Cybersecurity and Privacy Law</t>
  </si>
  <si>
    <t>LL4475V</t>
  </si>
  <si>
    <t>Law and Practice of Investment Management</t>
  </si>
  <si>
    <t>LL5002V</t>
  </si>
  <si>
    <t>LL5004V</t>
  </si>
  <si>
    <t>LL5006V</t>
  </si>
  <si>
    <t>LL5007</t>
  </si>
  <si>
    <t>BIOTECHNOLOGY LAW</t>
  </si>
  <si>
    <t>LL5008AV</t>
  </si>
  <si>
    <t>LL5009GRSI</t>
  </si>
  <si>
    <t>Graduate Research Seminar I (Legal Scholarship)</t>
  </si>
  <si>
    <t>LL5009V</t>
  </si>
  <si>
    <t>LL5019V</t>
  </si>
  <si>
    <t>LL5029V</t>
  </si>
  <si>
    <t>LL5031V</t>
  </si>
  <si>
    <t>LL5032</t>
  </si>
  <si>
    <t>INTERNATIONAL INVESTMENT LAW</t>
  </si>
  <si>
    <t>LL5033V</t>
  </si>
  <si>
    <t>LL5045V</t>
  </si>
  <si>
    <t>LL5050V</t>
  </si>
  <si>
    <t>LL5056BV</t>
  </si>
  <si>
    <t>LL5060B</t>
  </si>
  <si>
    <t>LL5063V</t>
  </si>
  <si>
    <t>LL5064V</t>
  </si>
  <si>
    <t>LL5070V</t>
  </si>
  <si>
    <t>LL5073V</t>
  </si>
  <si>
    <t>LL5109V</t>
  </si>
  <si>
    <t>LL5164V</t>
  </si>
  <si>
    <t>LL5187</t>
  </si>
  <si>
    <t>LL5191</t>
  </si>
  <si>
    <t>LL5203</t>
  </si>
  <si>
    <t>LL5203A</t>
  </si>
  <si>
    <t>LL5203B</t>
  </si>
  <si>
    <t>LL5203C</t>
  </si>
  <si>
    <t>LL5214</t>
  </si>
  <si>
    <t>LL5219</t>
  </si>
  <si>
    <t>LL5237V</t>
  </si>
  <si>
    <t>LL5244V</t>
  </si>
  <si>
    <t>LL5251V</t>
  </si>
  <si>
    <t>LL5276</t>
  </si>
  <si>
    <t>LL5285V</t>
  </si>
  <si>
    <t>LL5287V</t>
  </si>
  <si>
    <t>LL5292V</t>
  </si>
  <si>
    <t>LL5320</t>
  </si>
  <si>
    <t>LL5322V</t>
  </si>
  <si>
    <t>LL5328</t>
  </si>
  <si>
    <t>LL5335V</t>
  </si>
  <si>
    <t>LL5342V</t>
  </si>
  <si>
    <t>LL5359Z</t>
  </si>
  <si>
    <t>LL5382V</t>
  </si>
  <si>
    <t>LL5383Z</t>
  </si>
  <si>
    <t>LL5396</t>
  </si>
  <si>
    <t>UNIVERSITY RESEARCH OPPORTUNITIES PROGRAMME</t>
  </si>
  <si>
    <t>LL5396V</t>
  </si>
  <si>
    <t>International Arbitration &amp; Dispute Resolution Research</t>
  </si>
  <si>
    <t>LL5397</t>
  </si>
  <si>
    <t>LL5397V</t>
  </si>
  <si>
    <t>LL5398</t>
  </si>
  <si>
    <t>LL5405A</t>
  </si>
  <si>
    <t>LL5407</t>
  </si>
  <si>
    <t>LAW OF INSURANCE</t>
  </si>
  <si>
    <t>LL5433V</t>
  </si>
  <si>
    <t>LL5436V</t>
  </si>
  <si>
    <t>LL5454V</t>
  </si>
  <si>
    <t>LL5463V</t>
  </si>
  <si>
    <t>LL5464</t>
  </si>
  <si>
    <t>LL5465</t>
  </si>
  <si>
    <t>LL5471</t>
  </si>
  <si>
    <t>LL5472</t>
  </si>
  <si>
    <t>LL5473</t>
  </si>
  <si>
    <t>LL5474</t>
  </si>
  <si>
    <t>LL5475V</t>
  </si>
  <si>
    <t>LL6002V</t>
  </si>
  <si>
    <t>LL6004V</t>
  </si>
  <si>
    <t>LL6006V</t>
  </si>
  <si>
    <t>LL6007</t>
  </si>
  <si>
    <t>LL6008AV</t>
  </si>
  <si>
    <t>LL6009GRSI</t>
  </si>
  <si>
    <t>LL6009V</t>
  </si>
  <si>
    <t>LL6019V</t>
  </si>
  <si>
    <t>LL6029V</t>
  </si>
  <si>
    <t>LL6031V</t>
  </si>
  <si>
    <t>LL6032</t>
  </si>
  <si>
    <t>LL6033V</t>
  </si>
  <si>
    <t>LL6045V</t>
  </si>
  <si>
    <t>LL6050V</t>
  </si>
  <si>
    <t>LL6056BV</t>
  </si>
  <si>
    <t>LL6060B</t>
  </si>
  <si>
    <t>LL6063V</t>
  </si>
  <si>
    <t>LL6064V</t>
  </si>
  <si>
    <t>LL6070V</t>
  </si>
  <si>
    <t>LL6073V</t>
  </si>
  <si>
    <t>LL6109V</t>
  </si>
  <si>
    <t>LL6164V</t>
  </si>
  <si>
    <t>LL6187</t>
  </si>
  <si>
    <t>LL6191</t>
  </si>
  <si>
    <t>LL6203</t>
  </si>
  <si>
    <t>LL6203A</t>
  </si>
  <si>
    <t>LL6203B</t>
  </si>
  <si>
    <t>LL6203C</t>
  </si>
  <si>
    <t>LL6214</t>
  </si>
  <si>
    <t>LL6219</t>
  </si>
  <si>
    <t>LL6237V</t>
  </si>
  <si>
    <t>LL6244V</t>
  </si>
  <si>
    <t>LL6251V</t>
  </si>
  <si>
    <t>LL6276</t>
  </si>
  <si>
    <t>LL6285V</t>
  </si>
  <si>
    <t>LL6287V</t>
  </si>
  <si>
    <t>LL6292V</t>
  </si>
  <si>
    <t>LL6320</t>
  </si>
  <si>
    <t>LL6322V</t>
  </si>
  <si>
    <t>LL6328</t>
  </si>
  <si>
    <t>LL6335V</t>
  </si>
  <si>
    <t>LL6342V</t>
  </si>
  <si>
    <t>LL6359Z</t>
  </si>
  <si>
    <t>LL6382V</t>
  </si>
  <si>
    <t>LL6383Z</t>
  </si>
  <si>
    <t>LL6396</t>
  </si>
  <si>
    <t>LL6397</t>
  </si>
  <si>
    <t>UNIVERSITY RESEARCH OPPORTUNITIES PROGRA</t>
  </si>
  <si>
    <t>LL6405A</t>
  </si>
  <si>
    <t>LL6407</t>
  </si>
  <si>
    <t>LL6433V</t>
  </si>
  <si>
    <t>LL6436V</t>
  </si>
  <si>
    <t>LL6454V</t>
  </si>
  <si>
    <t>LL6463V</t>
  </si>
  <si>
    <t>LL6464</t>
  </si>
  <si>
    <t>LL6465</t>
  </si>
  <si>
    <t>LL6471</t>
  </si>
  <si>
    <t>LL6472</t>
  </si>
  <si>
    <t>LL6473</t>
  </si>
  <si>
    <t>LL6474</t>
  </si>
  <si>
    <t>LL6475V</t>
  </si>
  <si>
    <t>LLD5002V</t>
  </si>
  <si>
    <t>LLD5214</t>
  </si>
  <si>
    <t>LLD5322V</t>
  </si>
  <si>
    <t>LLD5396</t>
  </si>
  <si>
    <t>LLD5397</t>
  </si>
  <si>
    <t>LLD5464</t>
  </si>
  <si>
    <t>LLJ5002V</t>
  </si>
  <si>
    <t>LLJ5004V</t>
  </si>
  <si>
    <t>LLJ5006V</t>
  </si>
  <si>
    <t>LLJ5007</t>
  </si>
  <si>
    <t>LLJ5008AV</t>
  </si>
  <si>
    <t>LLJ5009V</t>
  </si>
  <si>
    <t>LLJ5019V</t>
  </si>
  <si>
    <t>LLJ5029V</t>
  </si>
  <si>
    <t>LLJ5031V</t>
  </si>
  <si>
    <t>LLJ5032</t>
  </si>
  <si>
    <t>LLJ5033V</t>
  </si>
  <si>
    <t>LLJ5045V</t>
  </si>
  <si>
    <t>LLJ5050V</t>
  </si>
  <si>
    <t>LLJ5056BV</t>
  </si>
  <si>
    <t>LLJ5060B</t>
  </si>
  <si>
    <t>LLJ5063V</t>
  </si>
  <si>
    <t>LLJ5064V</t>
  </si>
  <si>
    <t>LLJ5070V</t>
  </si>
  <si>
    <t>LLJ5073V</t>
  </si>
  <si>
    <t>LLJ5094AV</t>
  </si>
  <si>
    <t>LLJ5094BV</t>
  </si>
  <si>
    <t>LLJ5094CV</t>
  </si>
  <si>
    <t>LLJ5094DV</t>
  </si>
  <si>
    <t>LLJ5094EV</t>
  </si>
  <si>
    <t>LLJ5094FV</t>
  </si>
  <si>
    <t>LLJ5094GV</t>
  </si>
  <si>
    <t>LLJ5094V</t>
  </si>
  <si>
    <t>LLJ5109V</t>
  </si>
  <si>
    <t>LLJ5164V</t>
  </si>
  <si>
    <t>LLJ5187</t>
  </si>
  <si>
    <t>LLJ5191</t>
  </si>
  <si>
    <t>LLJ5203</t>
  </si>
  <si>
    <t>LLJ5214</t>
  </si>
  <si>
    <t>LLJ5219</t>
  </si>
  <si>
    <t>LLJ5237V</t>
  </si>
  <si>
    <t>LLJ5244V</t>
  </si>
  <si>
    <t>LLJ5251V</t>
  </si>
  <si>
    <t>LLJ5276</t>
  </si>
  <si>
    <t>LLJ5285V</t>
  </si>
  <si>
    <t>LLJ5287V</t>
  </si>
  <si>
    <t>LLJ5292V</t>
  </si>
  <si>
    <t>LLJ5320</t>
  </si>
  <si>
    <t>LLJ5322V</t>
  </si>
  <si>
    <t>LLJ5328</t>
  </si>
  <si>
    <t>LLJ5335V</t>
  </si>
  <si>
    <t>LLJ5342V</t>
  </si>
  <si>
    <t>LLJ5359Z</t>
  </si>
  <si>
    <t>LLJ5382V</t>
  </si>
  <si>
    <t>LLJ5383Z</t>
  </si>
  <si>
    <t>LLJ5405A</t>
  </si>
  <si>
    <t>LLJ5407</t>
  </si>
  <si>
    <t>LLJ5433V</t>
  </si>
  <si>
    <t>LLJ5436V</t>
  </si>
  <si>
    <t>LLJ5454V</t>
  </si>
  <si>
    <t>LLJ5463V</t>
  </si>
  <si>
    <t>LLJ5464</t>
  </si>
  <si>
    <t>LLJ5465</t>
  </si>
  <si>
    <t>LLJ5471</t>
  </si>
  <si>
    <t>LLJ5472</t>
  </si>
  <si>
    <t>LLJ5473</t>
  </si>
  <si>
    <t>LLJ5474</t>
  </si>
  <si>
    <t>LLJ5475V</t>
  </si>
  <si>
    <t>LSE6101</t>
  </si>
  <si>
    <t>Fundamentals of Environmental Life Sciences Engineering</t>
  </si>
  <si>
    <t>LSM1111</t>
  </si>
  <si>
    <t>Biological Challenges and Opportunities for Humankind</t>
  </si>
  <si>
    <t>LSM1301</t>
  </si>
  <si>
    <t>General Biology</t>
  </si>
  <si>
    <t>LSM2105</t>
  </si>
  <si>
    <t>Molecular Genetics</t>
  </si>
  <si>
    <t>LSM2106</t>
  </si>
  <si>
    <t>Fundamental Biochemistry</t>
  </si>
  <si>
    <t>Biochemistry</t>
  </si>
  <si>
    <t>LSM2107</t>
  </si>
  <si>
    <t>Evolutionary Biology</t>
  </si>
  <si>
    <t>LSM2191</t>
  </si>
  <si>
    <t>Laboratory Techniques in Life Sciences</t>
  </si>
  <si>
    <t>LSM2212</t>
  </si>
  <si>
    <t>Human Anatomy</t>
  </si>
  <si>
    <t>Anatomy</t>
  </si>
  <si>
    <t>LSM2233</t>
  </si>
  <si>
    <t>Cell Biology</t>
  </si>
  <si>
    <t>LSM2241</t>
  </si>
  <si>
    <t>Introductory Bioinformatics</t>
  </si>
  <si>
    <t>LSM2251</t>
  </si>
  <si>
    <t>Ecology and Environment</t>
  </si>
  <si>
    <t>LSM2252</t>
  </si>
  <si>
    <t>Biodiversity</t>
  </si>
  <si>
    <t>LSM2288</t>
  </si>
  <si>
    <t>Basic UROPS in Life Sciences I</t>
  </si>
  <si>
    <t>LSM2289</t>
  </si>
  <si>
    <t>Basic UROPS in Life Sciences II</t>
  </si>
  <si>
    <t>LSM2291</t>
  </si>
  <si>
    <t>Fundamental Techniques in Microbiology</t>
  </si>
  <si>
    <t>Microbiology and Immunology</t>
  </si>
  <si>
    <t>LSM2302</t>
  </si>
  <si>
    <t>Computational Thinking for Life Sciences</t>
  </si>
  <si>
    <t>LSM2312</t>
  </si>
  <si>
    <t>LSM3201</t>
  </si>
  <si>
    <t>Research and Communication in Life Sciences</t>
  </si>
  <si>
    <t>LSM3210</t>
  </si>
  <si>
    <t>Metabolism and Regulation</t>
  </si>
  <si>
    <t>LSM3211</t>
  </si>
  <si>
    <t>Fundamental Pharmacology</t>
  </si>
  <si>
    <t>Pharmacology</t>
  </si>
  <si>
    <t>LSM3212</t>
  </si>
  <si>
    <t>Human Physiology: Cardiopulmonary System</t>
  </si>
  <si>
    <t>LSM3215</t>
  </si>
  <si>
    <t>Neuronal Signaling and Memory Mechanisms</t>
  </si>
  <si>
    <t>LSM3217</t>
  </si>
  <si>
    <t>Human Ageing</t>
  </si>
  <si>
    <t>LSM3220</t>
  </si>
  <si>
    <t>Genes, Genomes and Biomedical Implications</t>
  </si>
  <si>
    <t>LSM3223</t>
  </si>
  <si>
    <t>Immunology</t>
  </si>
  <si>
    <t>LSM3227</t>
  </si>
  <si>
    <t>General Virology</t>
  </si>
  <si>
    <t>LSM3228</t>
  </si>
  <si>
    <t>Microbiomes and Biofilms</t>
  </si>
  <si>
    <t>LSM3231</t>
  </si>
  <si>
    <t>Protein Structure and Function</t>
  </si>
  <si>
    <t>LSM3232</t>
  </si>
  <si>
    <t>Microbiology</t>
  </si>
  <si>
    <t>LSM3233</t>
  </si>
  <si>
    <t>Developmental Biology</t>
  </si>
  <si>
    <t>LSM3234</t>
  </si>
  <si>
    <t>Biological Imaging of Growth and Form</t>
  </si>
  <si>
    <t>LSM3235</t>
  </si>
  <si>
    <t>Epigenetics in Human Health and Diseases</t>
  </si>
  <si>
    <t>LSM3236</t>
  </si>
  <si>
    <t>Pattern Formation and Self-organisation in Biology</t>
  </si>
  <si>
    <t>LSM3245</t>
  </si>
  <si>
    <t>RNA Biology and Technology</t>
  </si>
  <si>
    <t>LSM3246</t>
  </si>
  <si>
    <t>Synthetic Biology</t>
  </si>
  <si>
    <t>LSM3254</t>
  </si>
  <si>
    <t>Ecology of Aquatic Environments</t>
  </si>
  <si>
    <t>LSM3258</t>
  </si>
  <si>
    <t>Comparative Botany</t>
  </si>
  <si>
    <t>LSM3265</t>
  </si>
  <si>
    <t>Entomology</t>
  </si>
  <si>
    <t>LSM3288</t>
  </si>
  <si>
    <t>Advanced UROPS in Life Sciences I</t>
  </si>
  <si>
    <t>LSM3289</t>
  </si>
  <si>
    <t>Advanced UROPS in Life Sciences II</t>
  </si>
  <si>
    <t>LSM3311</t>
  </si>
  <si>
    <t>Undergraduate Professional Internship Programme</t>
  </si>
  <si>
    <t>LSM3312</t>
  </si>
  <si>
    <t>LSM4199</t>
  </si>
  <si>
    <t>Honours Project in Life Sciences</t>
  </si>
  <si>
    <t>LSM4213</t>
  </si>
  <si>
    <t>Systems Neurobiology</t>
  </si>
  <si>
    <t>LSM4214</t>
  </si>
  <si>
    <t>Cancer Pharmacology</t>
  </si>
  <si>
    <t>LSM4216</t>
  </si>
  <si>
    <t>Molecular Nutrition and Metabolic Biology</t>
  </si>
  <si>
    <t>LSM4221</t>
  </si>
  <si>
    <t>Drug Discovery and Clinical Trials</t>
  </si>
  <si>
    <t>LSM4222</t>
  </si>
  <si>
    <t>Advanced Immunology</t>
  </si>
  <si>
    <t>LSM4223</t>
  </si>
  <si>
    <t>Advances in Antimicrobial Strategies</t>
  </si>
  <si>
    <t>LSM4226</t>
  </si>
  <si>
    <t>Infection and Immunity</t>
  </si>
  <si>
    <t>LSM4227</t>
  </si>
  <si>
    <t>Stem Cell Biology</t>
  </si>
  <si>
    <t>LSM4228</t>
  </si>
  <si>
    <t>Experimental Models for Human Disease and Therapy</t>
  </si>
  <si>
    <t>LSM4232</t>
  </si>
  <si>
    <t>Advanced Cell Biology</t>
  </si>
  <si>
    <t>LSM4242</t>
  </si>
  <si>
    <t>Protein Engineering</t>
  </si>
  <si>
    <t>LSM4243</t>
  </si>
  <si>
    <t>Tumour Biology</t>
  </si>
  <si>
    <t>LSM4251</t>
  </si>
  <si>
    <t>Plant Growth and Development</t>
  </si>
  <si>
    <t>LSM4256</t>
  </si>
  <si>
    <t>Evolution of Development</t>
  </si>
  <si>
    <t>LSM4257</t>
  </si>
  <si>
    <t>Aquatic Vertebrate Diversity</t>
  </si>
  <si>
    <t>LSM4259</t>
  </si>
  <si>
    <t>Evolutionary Genetics of Reproduction</t>
  </si>
  <si>
    <t>LSM4260</t>
  </si>
  <si>
    <t>Plankton Ecology</t>
  </si>
  <si>
    <t>LSM4262</t>
  </si>
  <si>
    <t>Tropical Conservation Biology</t>
  </si>
  <si>
    <t>LSM4267</t>
  </si>
  <si>
    <t>Light &amp; Vision in Animal Communication</t>
  </si>
  <si>
    <t>LSM4268</t>
  </si>
  <si>
    <t>Environmental Bioacoustics</t>
  </si>
  <si>
    <t>LSM4299</t>
  </si>
  <si>
    <t>Applied Project in Life Sciences</t>
  </si>
  <si>
    <t>LX5103</t>
  </si>
  <si>
    <t>Environmental Law</t>
  </si>
  <si>
    <t>MA1100</t>
  </si>
  <si>
    <t>Basic Discrete Mathematics</t>
  </si>
  <si>
    <t>MA1100T</t>
  </si>
  <si>
    <t>Basic Discrete Mathematics (T)</t>
  </si>
  <si>
    <t>MA1301</t>
  </si>
  <si>
    <t>Introductory Mathematics</t>
  </si>
  <si>
    <t>MA1505</t>
  </si>
  <si>
    <t>Mathematics I</t>
  </si>
  <si>
    <t>MA1511</t>
  </si>
  <si>
    <t>Engineering Calculus</t>
  </si>
  <si>
    <t>MA1512</t>
  </si>
  <si>
    <t>Differential Equations for Engineering</t>
  </si>
  <si>
    <t>MA1513</t>
  </si>
  <si>
    <t>Linear Algebra with Differential Equations</t>
  </si>
  <si>
    <t>MA1521</t>
  </si>
  <si>
    <t>Calculus for Computing</t>
  </si>
  <si>
    <t>MA2001</t>
  </si>
  <si>
    <t>Linear Algebra I</t>
  </si>
  <si>
    <t>MA2002</t>
  </si>
  <si>
    <t>Calculus</t>
  </si>
  <si>
    <t>MA2101</t>
  </si>
  <si>
    <t>Linear Algebra II</t>
  </si>
  <si>
    <t>MA2101S</t>
  </si>
  <si>
    <t>Linear Algebra II (S)</t>
  </si>
  <si>
    <t>MA2104</t>
  </si>
  <si>
    <t>Multivariable Calculus</t>
  </si>
  <si>
    <t>MA2108</t>
  </si>
  <si>
    <t>Mathematical Analysis I</t>
  </si>
  <si>
    <t>MA2116</t>
  </si>
  <si>
    <t>Probability</t>
  </si>
  <si>
    <t>MA2213</t>
  </si>
  <si>
    <t>Numerical Analysis I</t>
  </si>
  <si>
    <t>MA2214</t>
  </si>
  <si>
    <t>Combinatorics and Graphs I</t>
  </si>
  <si>
    <t>MA2288</t>
  </si>
  <si>
    <t>Basic UROPS in Mathematics I</t>
  </si>
  <si>
    <t>MA2289</t>
  </si>
  <si>
    <t>Basic UROPS in Mathematics II</t>
  </si>
  <si>
    <t>MA2301</t>
  </si>
  <si>
    <t>Basic Applied Mathematics</t>
  </si>
  <si>
    <t>MA2311</t>
  </si>
  <si>
    <t>Techniques in Advanced Calculus</t>
  </si>
  <si>
    <t>MA2312U</t>
  </si>
  <si>
    <t>MA3205</t>
  </si>
  <si>
    <t>Set Theory</t>
  </si>
  <si>
    <t>MA3209</t>
  </si>
  <si>
    <t>Metric and Topological Spaces</t>
  </si>
  <si>
    <t>MA3210</t>
  </si>
  <si>
    <t>Mathematical Analysis II</t>
  </si>
  <si>
    <t>MA3220</t>
  </si>
  <si>
    <t>Ordinary Differential Equations</t>
  </si>
  <si>
    <t>MA3236</t>
  </si>
  <si>
    <t>Non-Linear Programming</t>
  </si>
  <si>
    <t>MA3259</t>
  </si>
  <si>
    <t>Mathematical Methods in Genomics</t>
  </si>
  <si>
    <t>MA3264</t>
  </si>
  <si>
    <t>Mathematical Modelling</t>
  </si>
  <si>
    <t>MA3269</t>
  </si>
  <si>
    <t>Mathematical Finance I</t>
  </si>
  <si>
    <t>MA3288</t>
  </si>
  <si>
    <t>Advanced UROPS in Mathematics I</t>
  </si>
  <si>
    <t>MA3289</t>
  </si>
  <si>
    <t>Advanced UROPS in Mathematics II</t>
  </si>
  <si>
    <t>MA3310</t>
  </si>
  <si>
    <t>MA3311</t>
  </si>
  <si>
    <t>MA4199</t>
  </si>
  <si>
    <t>Honours Project in Mathematics</t>
  </si>
  <si>
    <t>MA4203</t>
  </si>
  <si>
    <t>Galois Theory</t>
  </si>
  <si>
    <t>MA4230</t>
  </si>
  <si>
    <t>Matrix Computation</t>
  </si>
  <si>
    <t>MA4235</t>
  </si>
  <si>
    <t>Topics in Graph Theory</t>
  </si>
  <si>
    <t>MA4254</t>
  </si>
  <si>
    <t>Discrete Optimization</t>
  </si>
  <si>
    <t>MA4262</t>
  </si>
  <si>
    <t>Measure and Integration</t>
  </si>
  <si>
    <t>MA4270</t>
  </si>
  <si>
    <t>Data Modelling and Computation</t>
  </si>
  <si>
    <t>MA5198</t>
  </si>
  <si>
    <t>GRADUATE SEMINAR MODULE IN MATHEMATICS</t>
  </si>
  <si>
    <t>MA5203</t>
  </si>
  <si>
    <t>Graduate Algebra I</t>
  </si>
  <si>
    <t>MA5205</t>
  </si>
  <si>
    <t>Graduate Analysis I</t>
  </si>
  <si>
    <t>MA5210</t>
  </si>
  <si>
    <t>Differentiable Manifolds</t>
  </si>
  <si>
    <t>MA5211</t>
  </si>
  <si>
    <t>Lie Theory</t>
  </si>
  <si>
    <t>MA5217</t>
  </si>
  <si>
    <t>Graduate Complex Analysis</t>
  </si>
  <si>
    <t>MA5219</t>
  </si>
  <si>
    <t>Logic and Foundation of Mathematics I</t>
  </si>
  <si>
    <t>MA5233</t>
  </si>
  <si>
    <t>Computational Mathematics</t>
  </si>
  <si>
    <t>MA5243</t>
  </si>
  <si>
    <t>Advanced Mathematical Programming</t>
  </si>
  <si>
    <t>MA5248</t>
  </si>
  <si>
    <t>Stochastic Analysis in Mathematical Finance</t>
  </si>
  <si>
    <t>MA5248A</t>
  </si>
  <si>
    <t>MA5249</t>
  </si>
  <si>
    <t>Stochastic Processes and Algorithms</t>
  </si>
  <si>
    <t>MA5252</t>
  </si>
  <si>
    <t>Methods of Applied Mathematics</t>
  </si>
  <si>
    <t>MA5295</t>
  </si>
  <si>
    <t>DISSERTATION FOR MSC BY COURSEWORK</t>
  </si>
  <si>
    <t>MA5401</t>
  </si>
  <si>
    <t>Graduate Internship in Mathematics I</t>
  </si>
  <si>
    <t>MA5402</t>
  </si>
  <si>
    <t>Graduate Internship in Mathematics II</t>
  </si>
  <si>
    <t>MA6205</t>
  </si>
  <si>
    <t>Topics in Analysis I</t>
  </si>
  <si>
    <t>MA6221</t>
  </si>
  <si>
    <t>Topics in Combinatorics</t>
  </si>
  <si>
    <t>MA6223</t>
  </si>
  <si>
    <t>Topics in Logic II</t>
  </si>
  <si>
    <t>MA6293</t>
  </si>
  <si>
    <t>TOPICS IN MATHEMATICS III</t>
  </si>
  <si>
    <t>MB5101</t>
  </si>
  <si>
    <t>The Cell as a Machine</t>
  </si>
  <si>
    <t>Mechanobiology Institute (MBI)</t>
  </si>
  <si>
    <t>MB5103</t>
  </si>
  <si>
    <t>Research Seminars in Mechanobiology</t>
  </si>
  <si>
    <t>MB5104</t>
  </si>
  <si>
    <t>Integrative Approach To Understand Cell Functions</t>
  </si>
  <si>
    <t>MCI5001</t>
  </si>
  <si>
    <t>CLINICAL EPIDEMIOLOGY I</t>
  </si>
  <si>
    <t>MCI5002</t>
  </si>
  <si>
    <t>CLINICAL BIOSTATISTICS I</t>
  </si>
  <si>
    <t>MCI5003</t>
  </si>
  <si>
    <t>BASIC CLINICAL PHARMACOLOGY FOR CLINICAL RESEARCH</t>
  </si>
  <si>
    <t>MCI5004</t>
  </si>
  <si>
    <t>MOLECULAR BIOMARKERS IN CLINICAL RESEARCH</t>
  </si>
  <si>
    <t>MCI5005</t>
  </si>
  <si>
    <t>ETHICS AND REGULATION OF CLINICAL RESEARCH</t>
  </si>
  <si>
    <t>MCI5008</t>
  </si>
  <si>
    <t>MDG5108</t>
  </si>
  <si>
    <t>BIOSTATISTICS FOR BASIC RESEARCH</t>
  </si>
  <si>
    <t>MDG5204</t>
  </si>
  <si>
    <t>Advanced Topics in Pharmacology</t>
  </si>
  <si>
    <t>MDG5214</t>
  </si>
  <si>
    <t>RESEARCH SKILLS</t>
  </si>
  <si>
    <t>MDG5215</t>
  </si>
  <si>
    <t>Healthcare Law &amp; Ethics</t>
  </si>
  <si>
    <t>MDG5218</t>
  </si>
  <si>
    <t>Biochemical and genetic approaches to understanding cell biology</t>
  </si>
  <si>
    <t>MDG5221</t>
  </si>
  <si>
    <t>Viral vectors for manipulating gene expression</t>
  </si>
  <si>
    <t>MDG5223</t>
  </si>
  <si>
    <t>Stem Cells and Regenerative Medicine</t>
  </si>
  <si>
    <t>MDG5226</t>
  </si>
  <si>
    <t>Antimicrobial resistance and drug discovery</t>
  </si>
  <si>
    <t>MDG5229</t>
  </si>
  <si>
    <t>Advanced Topics in Signal Transduction</t>
  </si>
  <si>
    <t>MDG5231</t>
  </si>
  <si>
    <t>Topics in Biomedical and Behavioural Research Ethics</t>
  </si>
  <si>
    <t>MDG5234</t>
  </si>
  <si>
    <t>Independent Study Module (CBmE)</t>
  </si>
  <si>
    <t>MDG5239</t>
  </si>
  <si>
    <t>Clinical Pharmacology and Pharmacotherapeutics II</t>
  </si>
  <si>
    <t>MDG5241</t>
  </si>
  <si>
    <t>Advanced Statistical Methods for Bioinformatics</t>
  </si>
  <si>
    <t>MDG5243</t>
  </si>
  <si>
    <t>Biology of Disease</t>
  </si>
  <si>
    <t>MDG5245</t>
  </si>
  <si>
    <t xml:space="preserve">Neuronal Signaling and  mechanisms of effective Learning</t>
  </si>
  <si>
    <t>MDG5246</t>
  </si>
  <si>
    <t>Infectious Diseases: Principles &amp; Research Methods</t>
  </si>
  <si>
    <t>MDG5247</t>
  </si>
  <si>
    <t>Bio-Imaging: Advanced Tools and Applications</t>
  </si>
  <si>
    <t>MDG5248</t>
  </si>
  <si>
    <t>The Ethics of Biotechnology and Innovation</t>
  </si>
  <si>
    <t>MDG5250</t>
  </si>
  <si>
    <t>Foundations and Methods in Bioethics: Part I</t>
  </si>
  <si>
    <t>MDG5600</t>
  </si>
  <si>
    <t>Industry Experiential Internship</t>
  </si>
  <si>
    <t>MDG5771</t>
  </si>
  <si>
    <t>Graduate Research Seminar</t>
  </si>
  <si>
    <t>ME1102</t>
  </si>
  <si>
    <t>ME2102</t>
  </si>
  <si>
    <t>Engineering Innovation and Modelling</t>
  </si>
  <si>
    <t>ME2112</t>
  </si>
  <si>
    <t>Strength of Materials</t>
  </si>
  <si>
    <t>ME2115</t>
  </si>
  <si>
    <t>Mechanics Of Machines</t>
  </si>
  <si>
    <t>ME2121</t>
  </si>
  <si>
    <t>Engineering Thermodynamics and Heat Transfer</t>
  </si>
  <si>
    <t>ME2134</t>
  </si>
  <si>
    <t>Fluid Mechanics I</t>
  </si>
  <si>
    <t>ME2142</t>
  </si>
  <si>
    <t>ME2142E</t>
  </si>
  <si>
    <t>ME2151E</t>
  </si>
  <si>
    <t>Principles of Mechanical Eng. Materials</t>
  </si>
  <si>
    <t>ME2162</t>
  </si>
  <si>
    <t>MANUFACTURING PROCESSES</t>
  </si>
  <si>
    <t>ME3000</t>
  </si>
  <si>
    <t>Independent Study 1</t>
  </si>
  <si>
    <t>ME3001</t>
  </si>
  <si>
    <t>Independent Study 2</t>
  </si>
  <si>
    <t>ME3103</t>
  </si>
  <si>
    <t>Mechanical Systems Design</t>
  </si>
  <si>
    <t>ME3122</t>
  </si>
  <si>
    <t>Heat Transfer</t>
  </si>
  <si>
    <t>ME3163</t>
  </si>
  <si>
    <t>ME3211</t>
  </si>
  <si>
    <t>Mechanics Of Solids</t>
  </si>
  <si>
    <t>ME3242</t>
  </si>
  <si>
    <t>Automation</t>
  </si>
  <si>
    <t>ME3242E</t>
  </si>
  <si>
    <t>ME3243</t>
  </si>
  <si>
    <t>ME3252</t>
  </si>
  <si>
    <t>Materials for Mechanical Engineering</t>
  </si>
  <si>
    <t>ME3261</t>
  </si>
  <si>
    <t>Computer-Aided Design And Manufacturing</t>
  </si>
  <si>
    <t>ME3261E</t>
  </si>
  <si>
    <t>Computer-Aided Design and Manufacturing</t>
  </si>
  <si>
    <t>ME3263</t>
  </si>
  <si>
    <t>Design For Manufacturing And Assembly</t>
  </si>
  <si>
    <t>ME3273E</t>
  </si>
  <si>
    <t>Understanding Experimental Data</t>
  </si>
  <si>
    <t>ME4101</t>
  </si>
  <si>
    <t>Bachelor Of Engineering Dissertation</t>
  </si>
  <si>
    <t>ME4101A</t>
  </si>
  <si>
    <t>ME4101B</t>
  </si>
  <si>
    <t>ME4102</t>
  </si>
  <si>
    <t>Standards in Mechanical Engineering</t>
  </si>
  <si>
    <t>ME4103</t>
  </si>
  <si>
    <t>Mechanical Engineering and Society</t>
  </si>
  <si>
    <t>ME4105</t>
  </si>
  <si>
    <t>Specialization Study Module</t>
  </si>
  <si>
    <t>ME4223</t>
  </si>
  <si>
    <t>Thermal Environmental Engineering</t>
  </si>
  <si>
    <t>ME4223E</t>
  </si>
  <si>
    <t>ME4226</t>
  </si>
  <si>
    <t>Energy and Thermal Systems</t>
  </si>
  <si>
    <t>ME4233</t>
  </si>
  <si>
    <t>Computational Methods In Fluid Mechanics</t>
  </si>
  <si>
    <t>ME4241</t>
  </si>
  <si>
    <t>Aircraft Performance, Stability and Control</t>
  </si>
  <si>
    <t>ME4242</t>
  </si>
  <si>
    <t>Soft Robotics</t>
  </si>
  <si>
    <t>ME4245</t>
  </si>
  <si>
    <t>Robot Mechanics and Control</t>
  </si>
  <si>
    <t>ME4245E</t>
  </si>
  <si>
    <t>ME4248</t>
  </si>
  <si>
    <t>Manufacturing Simulation and Data Communication</t>
  </si>
  <si>
    <t>ME4252</t>
  </si>
  <si>
    <t>Nanomaterials for Energy Engineering</t>
  </si>
  <si>
    <t>ME4291</t>
  </si>
  <si>
    <t>Finite Element Analysis</t>
  </si>
  <si>
    <t>ME5001</t>
  </si>
  <si>
    <t>Mechanical Engineering Project</t>
  </si>
  <si>
    <t>ME5001A</t>
  </si>
  <si>
    <t>ME5106</t>
  </si>
  <si>
    <t>Engineering Acoustics</t>
  </si>
  <si>
    <t>ME5209</t>
  </si>
  <si>
    <t>Energy Technologies and Systems</t>
  </si>
  <si>
    <t>ME5300A</t>
  </si>
  <si>
    <t>Special Project in Computation and Modelling I</t>
  </si>
  <si>
    <t>ME5304</t>
  </si>
  <si>
    <t>Experimental Fluid Mechanics</t>
  </si>
  <si>
    <t>ME5306</t>
  </si>
  <si>
    <t>Compressible and High-Speed Flow</t>
  </si>
  <si>
    <t>ME5401</t>
  </si>
  <si>
    <t>ME5405</t>
  </si>
  <si>
    <t>Machine Vision</t>
  </si>
  <si>
    <t>ME5513</t>
  </si>
  <si>
    <t>Deformation, Fracture and Fatigue of Materials</t>
  </si>
  <si>
    <t>ME5517</t>
  </si>
  <si>
    <t>Nature-inspired Materials and Design</t>
  </si>
  <si>
    <t>ME5600A</t>
  </si>
  <si>
    <t>Project in Advanced Manufacturing I</t>
  </si>
  <si>
    <t>ME5600B</t>
  </si>
  <si>
    <t>Project in Advanced Manufacturing II</t>
  </si>
  <si>
    <t>ME5608</t>
  </si>
  <si>
    <t>Additive and Non-Conventional Manufacturing Processes</t>
  </si>
  <si>
    <t>ME5616</t>
  </si>
  <si>
    <t>Material Processing of Cellular Solids</t>
  </si>
  <si>
    <t>ME5666</t>
  </si>
  <si>
    <t>ME5701</t>
  </si>
  <si>
    <t>Mathematics for Engineering Research</t>
  </si>
  <si>
    <t>ME5999</t>
  </si>
  <si>
    <t>ME6108</t>
  </si>
  <si>
    <t>Advances in Vibroacoustics</t>
  </si>
  <si>
    <t>ME6303</t>
  </si>
  <si>
    <t>ADVANCED FLUID DYNAMICS</t>
  </si>
  <si>
    <t>ME6401</t>
  </si>
  <si>
    <t>TOPICS IN MECHATRONICS 1</t>
  </si>
  <si>
    <t>ME6504</t>
  </si>
  <si>
    <t>DEFECTS &amp; DISLOCATIONS IN SOLIDS</t>
  </si>
  <si>
    <t>ME6505</t>
  </si>
  <si>
    <t>Engineering Materials in Medicine</t>
  </si>
  <si>
    <t>ME6509</t>
  </si>
  <si>
    <t>Materials and Sustainability</t>
  </si>
  <si>
    <t>ME6999</t>
  </si>
  <si>
    <t>MKT1705A</t>
  </si>
  <si>
    <t>Principles of Marketing</t>
  </si>
  <si>
    <t>MKT1705B</t>
  </si>
  <si>
    <t>MKT1705C</t>
  </si>
  <si>
    <t>MKT1705D</t>
  </si>
  <si>
    <t>MKT1705E</t>
  </si>
  <si>
    <t>MKT1705F</t>
  </si>
  <si>
    <t>MKT1705X</t>
  </si>
  <si>
    <t>MKT2711A</t>
  </si>
  <si>
    <t>MKT2711B</t>
  </si>
  <si>
    <t>MKT3429</t>
  </si>
  <si>
    <t>Independent Study in Marketing</t>
  </si>
  <si>
    <t>MKT3439</t>
  </si>
  <si>
    <t>MKT3701A</t>
  </si>
  <si>
    <t>Marketing Strategy: Analysis and Practice</t>
  </si>
  <si>
    <t>MKT3701B</t>
  </si>
  <si>
    <t>MKT3702A</t>
  </si>
  <si>
    <t>Consumer Behaviour</t>
  </si>
  <si>
    <t>MKT3702B</t>
  </si>
  <si>
    <t>MKT3711</t>
  </si>
  <si>
    <t>Services Marketing</t>
  </si>
  <si>
    <t>MKT3714A</t>
  </si>
  <si>
    <t>MKT3714B</t>
  </si>
  <si>
    <t>MKT3715</t>
  </si>
  <si>
    <t>Business-to-Business Marketing</t>
  </si>
  <si>
    <t>MKT3717</t>
  </si>
  <si>
    <t>MKT3718</t>
  </si>
  <si>
    <t>Advertising &amp; Promotion Management</t>
  </si>
  <si>
    <t>MKT3722</t>
  </si>
  <si>
    <t>MKT3724</t>
  </si>
  <si>
    <t>Sustainability Marketing</t>
  </si>
  <si>
    <t>MKT3751</t>
  </si>
  <si>
    <t>MKT3752</t>
  </si>
  <si>
    <t>Indep Study in Mkting (2 MC)</t>
  </si>
  <si>
    <t>MKT4419</t>
  </si>
  <si>
    <t>Advanced Independent Study in Marketing</t>
  </si>
  <si>
    <t>MKT4429</t>
  </si>
  <si>
    <t>MKT4719</t>
  </si>
  <si>
    <t>MKT4720</t>
  </si>
  <si>
    <t>Product Experience Management</t>
  </si>
  <si>
    <t>MKT4722</t>
  </si>
  <si>
    <t>Personal Selling &amp; Sales Management</t>
  </si>
  <si>
    <t>MKT4723</t>
  </si>
  <si>
    <t>Customer Experience Management</t>
  </si>
  <si>
    <t>MKT4751</t>
  </si>
  <si>
    <t>MKT4752</t>
  </si>
  <si>
    <t>Advanced Independent Study in Marketing (2 MC)</t>
  </si>
  <si>
    <t>MKT4761F</t>
  </si>
  <si>
    <t>SIM: Disruption and Marketing</t>
  </si>
  <si>
    <t>MKT4811</t>
  </si>
  <si>
    <t>Pricing Strategy</t>
  </si>
  <si>
    <t>MKT4812</t>
  </si>
  <si>
    <t>MLE1001B</t>
  </si>
  <si>
    <t>Materials Science &amp; Engineering Principles &amp; Practice 1</t>
  </si>
  <si>
    <t>Materials Science &amp; Eng</t>
  </si>
  <si>
    <t>MLE1010</t>
  </si>
  <si>
    <t>Materials Engineering Principles &amp; Practices</t>
  </si>
  <si>
    <t>MLE2101</t>
  </si>
  <si>
    <t>Introduction to Structure of Materials</t>
  </si>
  <si>
    <t>MLE2102</t>
  </si>
  <si>
    <t>Principles of Renewable Energy</t>
  </si>
  <si>
    <t>MLE2103</t>
  </si>
  <si>
    <t>Phase Transformation and Kinetics</t>
  </si>
  <si>
    <t>MLE2301</t>
  </si>
  <si>
    <t>Introduction to Materials Science &amp; Engineering</t>
  </si>
  <si>
    <t>MLE3102</t>
  </si>
  <si>
    <t>Degradation and Failure of Materials</t>
  </si>
  <si>
    <t>MLE3104</t>
  </si>
  <si>
    <t>Polymeric and Composite Materials</t>
  </si>
  <si>
    <t>MLE3105</t>
  </si>
  <si>
    <t>Dielectric and Magnetic Materials</t>
  </si>
  <si>
    <t>MLE3111</t>
  </si>
  <si>
    <t>Materials Properties &amp; Processing Laboratory</t>
  </si>
  <si>
    <t>MLE4101</t>
  </si>
  <si>
    <t>MLE4101A</t>
  </si>
  <si>
    <t>BEng Dissertation</t>
  </si>
  <si>
    <t>MLE4102</t>
  </si>
  <si>
    <t>MLE4102A</t>
  </si>
  <si>
    <t>MLE4201</t>
  </si>
  <si>
    <t>Advanced Materials Characterisation</t>
  </si>
  <si>
    <t>MLE4203</t>
  </si>
  <si>
    <t>Polymeric Biomedical Materials</t>
  </si>
  <si>
    <t>MLE4212</t>
  </si>
  <si>
    <t>Advanced Structural Materials</t>
  </si>
  <si>
    <t>MLE4213</t>
  </si>
  <si>
    <t>Innovation &amp; Product Development for Material Engineers</t>
  </si>
  <si>
    <t>MLE4219</t>
  </si>
  <si>
    <t>Materials for Optics: from Quantum Light to Nanodevices</t>
  </si>
  <si>
    <t>MLE4221</t>
  </si>
  <si>
    <t>Emerging materials for renewable fuels and clean water</t>
  </si>
  <si>
    <t>MLE5001</t>
  </si>
  <si>
    <t>Basics of Structures &amp; Properties of Materials</t>
  </si>
  <si>
    <t>MLE5003</t>
  </si>
  <si>
    <t>Materials Science &amp;Engineering Project</t>
  </si>
  <si>
    <t>MLE5004</t>
  </si>
  <si>
    <t>Innovation &amp; Translation Research Project in MSE</t>
  </si>
  <si>
    <t>MLE5101</t>
  </si>
  <si>
    <t>Thermodynamics for Sustainability</t>
  </si>
  <si>
    <t>MLE5104</t>
  </si>
  <si>
    <t>PHYSICAL PROPERTIES OF MATERIALS</t>
  </si>
  <si>
    <t>MLE5212</t>
  </si>
  <si>
    <t>Energy Conversion &amp; Storage</t>
  </si>
  <si>
    <t>MLE5216</t>
  </si>
  <si>
    <t>Introduction to Microscopy for Material Research</t>
  </si>
  <si>
    <t>MLE5221</t>
  </si>
  <si>
    <t>Designing materials for renewable fuels and clean water</t>
  </si>
  <si>
    <t>MLE5666</t>
  </si>
  <si>
    <t>Industrial Attachment Module</t>
  </si>
  <si>
    <t>MLE5999</t>
  </si>
  <si>
    <t>MLE6101</t>
  </si>
  <si>
    <t>THERMODYNAMICS AND KINETICS OF MATERIALS</t>
  </si>
  <si>
    <t>MLE6103</t>
  </si>
  <si>
    <t>STRUCTURES OF MATERIALS</t>
  </si>
  <si>
    <t>MLE6999</t>
  </si>
  <si>
    <t>MNO1706A</t>
  </si>
  <si>
    <t>Organisational Behavior</t>
  </si>
  <si>
    <t>MNO1706B</t>
  </si>
  <si>
    <t>MNO1706D</t>
  </si>
  <si>
    <t>MNO1706E</t>
  </si>
  <si>
    <t>MNO1706F</t>
  </si>
  <si>
    <t>MNO1706G</t>
  </si>
  <si>
    <t>MNO1706H</t>
  </si>
  <si>
    <t>MNO1706X</t>
  </si>
  <si>
    <t>MNO2705A</t>
  </si>
  <si>
    <t>Leadership and Decision Making under Uncertainty</t>
  </si>
  <si>
    <t>MNO2705B</t>
  </si>
  <si>
    <t>MNO2705C</t>
  </si>
  <si>
    <t>MNO2705D</t>
  </si>
  <si>
    <t>MNO2705E</t>
  </si>
  <si>
    <t>MNO2705F</t>
  </si>
  <si>
    <t>MNO2706</t>
  </si>
  <si>
    <t>Business Communication for Leaders (ACC)</t>
  </si>
  <si>
    <t>MNO3329</t>
  </si>
  <si>
    <t>Independent Study in Leadership &amp; Human Capital Mgmt</t>
  </si>
  <si>
    <t>MNO3339</t>
  </si>
  <si>
    <t>MNO3701</t>
  </si>
  <si>
    <t>Human Capital Management</t>
  </si>
  <si>
    <t>MNO3702</t>
  </si>
  <si>
    <t>MNO3703</t>
  </si>
  <si>
    <t>Leading in the 21st Century</t>
  </si>
  <si>
    <t>MNO3713</t>
  </si>
  <si>
    <t>Management of Employee Relations</t>
  </si>
  <si>
    <t>MNO3716</t>
  </si>
  <si>
    <t>Principles of Global Management</t>
  </si>
  <si>
    <t>MNO3751</t>
  </si>
  <si>
    <t>MNO3752</t>
  </si>
  <si>
    <t>Independent Study in Leadership &amp; Human Capital Mgmt (2 MC)</t>
  </si>
  <si>
    <t>MNO3761C</t>
  </si>
  <si>
    <t>TILHCM: Crisis Management</t>
  </si>
  <si>
    <t>MNO3811</t>
  </si>
  <si>
    <t>Social Entrepreneurship</t>
  </si>
  <si>
    <t>MNO4319</t>
  </si>
  <si>
    <t>Adv Independent Study in Leadership &amp; Human Capital Mgt</t>
  </si>
  <si>
    <t>MNO4329</t>
  </si>
  <si>
    <t>MNO4711</t>
  </si>
  <si>
    <t>Consulting to Management</t>
  </si>
  <si>
    <t>MNO4716</t>
  </si>
  <si>
    <t>Using R for HR analytics and machine learning</t>
  </si>
  <si>
    <t>MNO4751</t>
  </si>
  <si>
    <t>MNO4752</t>
  </si>
  <si>
    <t>Adv Independent Study in Leadership &amp; Human Capital Mgt (2 MC)</t>
  </si>
  <si>
    <t>MNO4761D</t>
  </si>
  <si>
    <t>SILHCM: Industry 4.0, Technology, &amp; Mgt Implications</t>
  </si>
  <si>
    <t>MNO4861C</t>
  </si>
  <si>
    <t>SILHCM: Corp Entrepreneurship &amp; Busi Model Evaluation</t>
  </si>
  <si>
    <t>MS1102E</t>
  </si>
  <si>
    <t>Understanding the Contemporary Malay World</t>
  </si>
  <si>
    <t>MS2211</t>
  </si>
  <si>
    <t>Criticism in Modern Malay Literature</t>
  </si>
  <si>
    <t>MS2212</t>
  </si>
  <si>
    <t>Law and Malay Society</t>
  </si>
  <si>
    <t>MS2213</t>
  </si>
  <si>
    <t>Families and Households - Lived Experiences</t>
  </si>
  <si>
    <t>MS3210</t>
  </si>
  <si>
    <t>Modern Indonesian Literature</t>
  </si>
  <si>
    <t>MS3214</t>
  </si>
  <si>
    <t>Asian Traditions and Modernisation</t>
  </si>
  <si>
    <t>MS3216</t>
  </si>
  <si>
    <t>Gender and Islam</t>
  </si>
  <si>
    <t>MS3550</t>
  </si>
  <si>
    <t>Malay Studies Internship</t>
  </si>
  <si>
    <t>MS4101</t>
  </si>
  <si>
    <t>Theory and Practice in Malay Studies</t>
  </si>
  <si>
    <t>MS4204</t>
  </si>
  <si>
    <t>The Malay Middle Class</t>
  </si>
  <si>
    <t>MS4880A</t>
  </si>
  <si>
    <t>Orientations in Muslim Resurgence Movements</t>
  </si>
  <si>
    <t>MS5101</t>
  </si>
  <si>
    <t>SOCIAL SCIENCE AND MALAY STUDIES</t>
  </si>
  <si>
    <t>MS5660</t>
  </si>
  <si>
    <t>MS6660</t>
  </si>
  <si>
    <t>MT5006</t>
  </si>
  <si>
    <t>Value Creation Through Product Development</t>
  </si>
  <si>
    <t>MT5007</t>
  </si>
  <si>
    <t>MANAGEMENT OF TECHNOLOGICAL INNOVATION</t>
  </si>
  <si>
    <t>MT5008</t>
  </si>
  <si>
    <t>Internal and Collaborative Corporate Entrepreneurship</t>
  </si>
  <si>
    <t>MT5011</t>
  </si>
  <si>
    <t>Business Finance in the Technology Industry</t>
  </si>
  <si>
    <t>MT5012</t>
  </si>
  <si>
    <t>Marketing of Technology Products in the Digital Era</t>
  </si>
  <si>
    <t>MT5020</t>
  </si>
  <si>
    <t>Managing the Human elements of Technology Management</t>
  </si>
  <si>
    <t>MT5666</t>
  </si>
  <si>
    <t>MT5766</t>
  </si>
  <si>
    <t>Technology Management Internship</t>
  </si>
  <si>
    <t>MT5900</t>
  </si>
  <si>
    <t>MOT RESEARCH PROJECT</t>
  </si>
  <si>
    <t>MT5901</t>
  </si>
  <si>
    <t>Management Practicum</t>
  </si>
  <si>
    <t>MT5902</t>
  </si>
  <si>
    <t>Management Extended Practicum</t>
  </si>
  <si>
    <t>MT5913</t>
  </si>
  <si>
    <t>TechLaunch - Experiential Entrepreneurship</t>
  </si>
  <si>
    <t>MT5920</t>
  </si>
  <si>
    <t>Enterprise Development</t>
  </si>
  <si>
    <t>MT5999</t>
  </si>
  <si>
    <t>MT6999</t>
  </si>
  <si>
    <t>MTM5001</t>
  </si>
  <si>
    <t>Maritime Industry Fundamentals</t>
  </si>
  <si>
    <t>MTM5002</t>
  </si>
  <si>
    <t>Port Logistics and Supply Chain</t>
  </si>
  <si>
    <t>MTM5004</t>
  </si>
  <si>
    <t>Maritime Data Analytics</t>
  </si>
  <si>
    <t>MTM5101P</t>
  </si>
  <si>
    <t>Maritime Team Project</t>
  </si>
  <si>
    <t>MUA1101</t>
  </si>
  <si>
    <t>Composition Major Study 1A</t>
  </si>
  <si>
    <t>MUA1107</t>
  </si>
  <si>
    <t>Large Ensembles 1A</t>
  </si>
  <si>
    <t>MUA1108</t>
  </si>
  <si>
    <t>Large Ensembles 1B</t>
  </si>
  <si>
    <t>MUA1111</t>
  </si>
  <si>
    <t>Piano Ensemble 1A</t>
  </si>
  <si>
    <t>MUA1115</t>
  </si>
  <si>
    <t>Foundations of Vocal Accompaniment / Sight-Reading</t>
  </si>
  <si>
    <t>MUA1153</t>
  </si>
  <si>
    <t>Noon Recital Series 1A</t>
  </si>
  <si>
    <t>MUA1154</t>
  </si>
  <si>
    <t>Noon Recital Series 1B</t>
  </si>
  <si>
    <t>MUA1161</t>
  </si>
  <si>
    <t>Foundational Studies on Principal Instrument</t>
  </si>
  <si>
    <t>MUA1162</t>
  </si>
  <si>
    <t>Juried Performance Presentation</t>
  </si>
  <si>
    <t>MUA1163</t>
  </si>
  <si>
    <t>The Profession of Music 1</t>
  </si>
  <si>
    <t>MUA1165</t>
  </si>
  <si>
    <t>Music and Machines</t>
  </si>
  <si>
    <t>MUA1168</t>
  </si>
  <si>
    <t>Foundational Area Study 1</t>
  </si>
  <si>
    <t>MUA1170</t>
  </si>
  <si>
    <t>Fundamentals of Music Production and Recording 1</t>
  </si>
  <si>
    <t>MUA1172</t>
  </si>
  <si>
    <t>Critical Listening 1</t>
  </si>
  <si>
    <t>MUA1190</t>
  </si>
  <si>
    <t>Applied Voice Major Study 1A</t>
  </si>
  <si>
    <t>MUA1192</t>
  </si>
  <si>
    <t>Chamber Singers 1</t>
  </si>
  <si>
    <t>MUA1193</t>
  </si>
  <si>
    <t>Chamber Singers 2</t>
  </si>
  <si>
    <t>MUA1196</t>
  </si>
  <si>
    <t>Diction for Singers 1</t>
  </si>
  <si>
    <t>MUA1223</t>
  </si>
  <si>
    <t>Desktop Mixing Production</t>
  </si>
  <si>
    <t>MUA1270</t>
  </si>
  <si>
    <t>Interdisciplinary Electronic Arts Survey</t>
  </si>
  <si>
    <t>MUA2101</t>
  </si>
  <si>
    <t>Composition Major Study 2A</t>
  </si>
  <si>
    <t>MUA2107</t>
  </si>
  <si>
    <t>Large Ensembles 2A</t>
  </si>
  <si>
    <t>MUA2108</t>
  </si>
  <si>
    <t>Large Ensembles 2B</t>
  </si>
  <si>
    <t>MUA2109</t>
  </si>
  <si>
    <t>Chamber Music</t>
  </si>
  <si>
    <t>MUA2110</t>
  </si>
  <si>
    <t>Chamber Music in Mixed Ensemble</t>
  </si>
  <si>
    <t>MUA2153</t>
  </si>
  <si>
    <t>Noon Recital Series 2A</t>
  </si>
  <si>
    <t>MUA2154</t>
  </si>
  <si>
    <t>Noon Recital Series 2B</t>
  </si>
  <si>
    <t>MUA2161</t>
  </si>
  <si>
    <t>Advanced Juried Performance Presentation</t>
  </si>
  <si>
    <t>MUA2162</t>
  </si>
  <si>
    <t>Continuing Studies on Principal Instrument</t>
  </si>
  <si>
    <t>MUA2163</t>
  </si>
  <si>
    <t>Leading and Guiding Through Music</t>
  </si>
  <si>
    <t>MUA2168</t>
  </si>
  <si>
    <t>Continuing Area Study 1</t>
  </si>
  <si>
    <t>MUA2170</t>
  </si>
  <si>
    <t>Multitrack Recording 1</t>
  </si>
  <si>
    <t>MUA2172</t>
  </si>
  <si>
    <t>Room Acoustics</t>
  </si>
  <si>
    <t>MUA2190</t>
  </si>
  <si>
    <t>Applied Voice Major Study 2A</t>
  </si>
  <si>
    <t>MUA2191</t>
  </si>
  <si>
    <t>Applied Voice Major Study 2B</t>
  </si>
  <si>
    <t>MUA2192</t>
  </si>
  <si>
    <t>Chambers Singers 3</t>
  </si>
  <si>
    <t>MUA2193</t>
  </si>
  <si>
    <t>Chambers Singers 4</t>
  </si>
  <si>
    <t>MUA2203</t>
  </si>
  <si>
    <t>Keyboard Literature: Genres throughout History</t>
  </si>
  <si>
    <t>MUA2205</t>
  </si>
  <si>
    <t>Rhythmic Devices in Performance 1</t>
  </si>
  <si>
    <t>MUA2210</t>
  </si>
  <si>
    <t>Rhythmical Devices in Performance 2</t>
  </si>
  <si>
    <t>MUA2240</t>
  </si>
  <si>
    <t>Collaborative Piano - Piano Ensemble</t>
  </si>
  <si>
    <t>MUA2241</t>
  </si>
  <si>
    <t>Collaborative Piano - Vocal Accompaniment</t>
  </si>
  <si>
    <t>MUA2242</t>
  </si>
  <si>
    <t>Collaborative Piano - Instrumental Accompaniment</t>
  </si>
  <si>
    <t>MUA2243</t>
  </si>
  <si>
    <t>Collaborative Piano - Chamber Music</t>
  </si>
  <si>
    <t>MUA2251</t>
  </si>
  <si>
    <t>Live Interactivity</t>
  </si>
  <si>
    <t>MUA2255</t>
  </si>
  <si>
    <t>Applied Secondary A</t>
  </si>
  <si>
    <t>MUA2256</t>
  </si>
  <si>
    <t>Applied Secondary B</t>
  </si>
  <si>
    <t>MUA2266</t>
  </si>
  <si>
    <t>Navigating Community Music Projects</t>
  </si>
  <si>
    <t>MUA2271</t>
  </si>
  <si>
    <t>Virtual Instrument Sound Design</t>
  </si>
  <si>
    <t>MUA3101</t>
  </si>
  <si>
    <t>Composition Major Study 3A</t>
  </si>
  <si>
    <t>MUA3102</t>
  </si>
  <si>
    <t>Composition Major Study 3B</t>
  </si>
  <si>
    <t>MUA3105</t>
  </si>
  <si>
    <t>Conducting</t>
  </si>
  <si>
    <t>MUA3107</t>
  </si>
  <si>
    <t>Large Ensembles 3A</t>
  </si>
  <si>
    <t>MUA3108</t>
  </si>
  <si>
    <t>Large Ensembles 3B</t>
  </si>
  <si>
    <t>MUA3109</t>
  </si>
  <si>
    <t>MUA3110</t>
  </si>
  <si>
    <t>MUA3113</t>
  </si>
  <si>
    <t>Keyboard Skills for Piano Majors</t>
  </si>
  <si>
    <t>MUA3117</t>
  </si>
  <si>
    <t>Contemporary Music Performance</t>
  </si>
  <si>
    <t>MUA3153</t>
  </si>
  <si>
    <t>Noon Recital Series 3A</t>
  </si>
  <si>
    <t>MUA3154</t>
  </si>
  <si>
    <t>Noon Recital Series 3B</t>
  </si>
  <si>
    <t>MUA3161</t>
  </si>
  <si>
    <t>Junior Recital</t>
  </si>
  <si>
    <t>MUA3162</t>
  </si>
  <si>
    <t>Intermediate Studies on Principal Instrument</t>
  </si>
  <si>
    <t>MUA3163</t>
  </si>
  <si>
    <t>Musical Pathways</t>
  </si>
  <si>
    <t>MUA3168</t>
  </si>
  <si>
    <t>Intermediate Area Study</t>
  </si>
  <si>
    <t>MUA3170</t>
  </si>
  <si>
    <t>Audio Postproduction I</t>
  </si>
  <si>
    <t>MUA3177</t>
  </si>
  <si>
    <t>Music Programming &amp; Production</t>
  </si>
  <si>
    <t>MUA3178</t>
  </si>
  <si>
    <t>MS / MCP 3rd Year Project</t>
  </si>
  <si>
    <t>MUA3179</t>
  </si>
  <si>
    <t>Capstone Project for Second Major in Music</t>
  </si>
  <si>
    <t>MUA3181</t>
  </si>
  <si>
    <t>Advanced Concepts in Orchestral Repertoire</t>
  </si>
  <si>
    <t>MUA3188</t>
  </si>
  <si>
    <t>Live Sound Reinforcement</t>
  </si>
  <si>
    <t>MUA3190</t>
  </si>
  <si>
    <t>Applied Voice Major Study 3B</t>
  </si>
  <si>
    <t>MUA3191</t>
  </si>
  <si>
    <t>Junior Recital in Voice</t>
  </si>
  <si>
    <t>MUA3194</t>
  </si>
  <si>
    <t>Voice Literature 1</t>
  </si>
  <si>
    <t>MUA3201</t>
  </si>
  <si>
    <t>Advanced Contemporary Music Performance</t>
  </si>
  <si>
    <t>MUA3202</t>
  </si>
  <si>
    <t>MUA3204</t>
  </si>
  <si>
    <t>Conducting Contemporary Instrumental Music</t>
  </si>
  <si>
    <t>MUA3205</t>
  </si>
  <si>
    <t>Jazz Study and Performance 1</t>
  </si>
  <si>
    <t>MUA3206</t>
  </si>
  <si>
    <t>Jazz Study and Performance 2</t>
  </si>
  <si>
    <t>MUA3208</t>
  </si>
  <si>
    <t>Creative Producing for Music Majors</t>
  </si>
  <si>
    <t>MUA3213</t>
  </si>
  <si>
    <t>Music Notation and Engraving</t>
  </si>
  <si>
    <t>MUA3216</t>
  </si>
  <si>
    <t>Performance and Interaction</t>
  </si>
  <si>
    <t>MUA3219</t>
  </si>
  <si>
    <t>World Music Ensemble</t>
  </si>
  <si>
    <t>MUA3220</t>
  </si>
  <si>
    <t>MUA3221</t>
  </si>
  <si>
    <t>Intensive Music Engagement Practicum</t>
  </si>
  <si>
    <t>MUA3224</t>
  </si>
  <si>
    <t>Intermediate Keyboard Studies</t>
  </si>
  <si>
    <t>MUA3226</t>
  </si>
  <si>
    <t>Collaboratory</t>
  </si>
  <si>
    <t>MUA3227</t>
  </si>
  <si>
    <t>Collaboratory B</t>
  </si>
  <si>
    <t>MUA3228</t>
  </si>
  <si>
    <t>Re-imagining Pianism through Analysis</t>
  </si>
  <si>
    <t>MUA3230</t>
  </si>
  <si>
    <t>Music Cognition</t>
  </si>
  <si>
    <t>MUA3240</t>
  </si>
  <si>
    <t>MUA3241</t>
  </si>
  <si>
    <t>MUA3242</t>
  </si>
  <si>
    <t>MUA3243</t>
  </si>
  <si>
    <t>MUA3255</t>
  </si>
  <si>
    <t>Applied Secondary C</t>
  </si>
  <si>
    <t>MUA3256</t>
  </si>
  <si>
    <t>Applied Secondary D</t>
  </si>
  <si>
    <t>MUA3260</t>
  </si>
  <si>
    <t>Internship in Music Related Pathways</t>
  </si>
  <si>
    <t>MUA3261</t>
  </si>
  <si>
    <t>Career Development Group Project</t>
  </si>
  <si>
    <t>MUA3263</t>
  </si>
  <si>
    <t>Internship in Music Related Pathways 2</t>
  </si>
  <si>
    <t>MUA3264</t>
  </si>
  <si>
    <t>Career Development Independent Project</t>
  </si>
  <si>
    <t>MUA3265</t>
  </si>
  <si>
    <t>Career Development Independent Project 2</t>
  </si>
  <si>
    <t>MUA3266</t>
  </si>
  <si>
    <t>MUA3271</t>
  </si>
  <si>
    <t>Acoustics and Sound Production for Performers</t>
  </si>
  <si>
    <t>MUA4101</t>
  </si>
  <si>
    <t>Composition Major Study 4A</t>
  </si>
  <si>
    <t>MUA4102</t>
  </si>
  <si>
    <t>Composition Major Study 4B</t>
  </si>
  <si>
    <t>MUA4107</t>
  </si>
  <si>
    <t>Large Ensembles 4A</t>
  </si>
  <si>
    <t>MUA4108</t>
  </si>
  <si>
    <t>Leadership Skills in an Orchestral Context</t>
  </si>
  <si>
    <t>MUA4109</t>
  </si>
  <si>
    <t>MUA4110</t>
  </si>
  <si>
    <t>MUA4113</t>
  </si>
  <si>
    <t>Piano Pedagogy</t>
  </si>
  <si>
    <t>MUA4153</t>
  </si>
  <si>
    <t>Noon Recital Series 4A</t>
  </si>
  <si>
    <t>MUA4154</t>
  </si>
  <si>
    <t>Noon Recital Series 4B</t>
  </si>
  <si>
    <t>MUA4161</t>
  </si>
  <si>
    <t>Advanced Studies on Principal Instrument</t>
  </si>
  <si>
    <t>MUA4162</t>
  </si>
  <si>
    <t>Senior Recital - Instrumental Performance Capstone</t>
  </si>
  <si>
    <t>MUA4172</t>
  </si>
  <si>
    <t>Internship in Audio Arts and Sciences 1</t>
  </si>
  <si>
    <t>MUA4173</t>
  </si>
  <si>
    <t>Audio for Media 1</t>
  </si>
  <si>
    <t>MUA4176</t>
  </si>
  <si>
    <t>Music Production and Marketing</t>
  </si>
  <si>
    <t>MUA4178</t>
  </si>
  <si>
    <t>MS / MCP Capstone Project</t>
  </si>
  <si>
    <t>MUA4181</t>
  </si>
  <si>
    <t>Professional Concepts in Orchestral Repertoire</t>
  </si>
  <si>
    <t>MUA4190</t>
  </si>
  <si>
    <t>Applied Voice Major Study 4A</t>
  </si>
  <si>
    <t>MUA4203</t>
  </si>
  <si>
    <t>Advanced Conducting I</t>
  </si>
  <si>
    <t>MUA4208</t>
  </si>
  <si>
    <t>Advanced Leadership in an Orchestral Context</t>
  </si>
  <si>
    <t>MUA4209</t>
  </si>
  <si>
    <t>Chamber Music 4</t>
  </si>
  <si>
    <t>MUA4210</t>
  </si>
  <si>
    <t>Chamber Music in Mixed Ensemble 4</t>
  </si>
  <si>
    <t>MUA4215</t>
  </si>
  <si>
    <t>Vocal Pedagogy</t>
  </si>
  <si>
    <t>MUA4226</t>
  </si>
  <si>
    <t>Collaboratory C</t>
  </si>
  <si>
    <t>MUA4227</t>
  </si>
  <si>
    <t>Collaboratory D</t>
  </si>
  <si>
    <t>MUA4240</t>
  </si>
  <si>
    <t>MUA4241</t>
  </si>
  <si>
    <t>MUA4242</t>
  </si>
  <si>
    <t>MUA4243</t>
  </si>
  <si>
    <t>MUA4301</t>
  </si>
  <si>
    <t>Advanced Preparation in International Competition</t>
  </si>
  <si>
    <t>MUA4309</t>
  </si>
  <si>
    <t>Chamber Music 5</t>
  </si>
  <si>
    <t>MUA4310</t>
  </si>
  <si>
    <t>Chamber Music in Mixed Ensemble 5</t>
  </si>
  <si>
    <t>MUA4340</t>
  </si>
  <si>
    <t>Collaborative Piano - Piano Ensemble 4</t>
  </si>
  <si>
    <t>MUA4341</t>
  </si>
  <si>
    <t>Collaborative Piano - Vocal Accompaniment 4</t>
  </si>
  <si>
    <t>MUA4342</t>
  </si>
  <si>
    <t>Collaborative Piano - Instrumental Accompaniment 4</t>
  </si>
  <si>
    <t>MUA4343</t>
  </si>
  <si>
    <t>Collaborative Piano - Chamber Music 4</t>
  </si>
  <si>
    <t>MUA4409</t>
  </si>
  <si>
    <t>Chamber Music 6</t>
  </si>
  <si>
    <t>MUA4410</t>
  </si>
  <si>
    <t>Chamber Music in Mixed Ensemble 6</t>
  </si>
  <si>
    <t>MUA4440</t>
  </si>
  <si>
    <t>Collaborative Piano - Piano Ensemble 5</t>
  </si>
  <si>
    <t>MUA4441</t>
  </si>
  <si>
    <t>Collaborative Piano - Vocal Accompaniment 5</t>
  </si>
  <si>
    <t>MUA4442</t>
  </si>
  <si>
    <t>Collaborative Piano - Instrumental Accompaniment 5</t>
  </si>
  <si>
    <t>MUA4443</t>
  </si>
  <si>
    <t>Collaborative Piano - Chamber Music 5</t>
  </si>
  <si>
    <t>MUA4540</t>
  </si>
  <si>
    <t>Collaborative Piano - Piano Ensemble 6</t>
  </si>
  <si>
    <t>MUA4541</t>
  </si>
  <si>
    <t xml:space="preserve">Collaborative Piano  Vocal Accompaniment 6</t>
  </si>
  <si>
    <t>MUA4542</t>
  </si>
  <si>
    <t>Collaborative Piano - Instrumental Accompaniment 6</t>
  </si>
  <si>
    <t>MUA4543</t>
  </si>
  <si>
    <t>Collaborative Piano - Chamber Music 6</t>
  </si>
  <si>
    <t>MUA5105</t>
  </si>
  <si>
    <t>Leadership in Orchestral Conducting</t>
  </si>
  <si>
    <t>MUA5115</t>
  </si>
  <si>
    <t>Ensemble Study 5A</t>
  </si>
  <si>
    <t>MUA5116</t>
  </si>
  <si>
    <t>Ensemble Study 5B</t>
  </si>
  <si>
    <t>MUA5121</t>
  </si>
  <si>
    <t>Professional Practices in Music</t>
  </si>
  <si>
    <t>MUA5123</t>
  </si>
  <si>
    <t>Collaborative Portfolio</t>
  </si>
  <si>
    <t>MUA5124</t>
  </si>
  <si>
    <t>Musical Explorations</t>
  </si>
  <si>
    <t>MUA5161</t>
  </si>
  <si>
    <t>Major Study 5A</t>
  </si>
  <si>
    <t>MUA5162</t>
  </si>
  <si>
    <t>Major Study 5B</t>
  </si>
  <si>
    <t>MUA5163</t>
  </si>
  <si>
    <t>Research Practices in Music</t>
  </si>
  <si>
    <t>MUA6115</t>
  </si>
  <si>
    <t>Ensemble Study 6A</t>
  </si>
  <si>
    <t>MUA6116</t>
  </si>
  <si>
    <t>Ensemble Study 6B</t>
  </si>
  <si>
    <t>MUA6161</t>
  </si>
  <si>
    <t>Major Study 6A</t>
  </si>
  <si>
    <t>MUA6162</t>
  </si>
  <si>
    <t>Major Study 6B</t>
  </si>
  <si>
    <t>MUH1100</t>
  </si>
  <si>
    <t>Understanding and Describing Music</t>
  </si>
  <si>
    <t>MUH1101</t>
  </si>
  <si>
    <t>Foundations for Musical Discovery</t>
  </si>
  <si>
    <t>MUH2201</t>
  </si>
  <si>
    <t>Classical Styles and Romantic Spirits</t>
  </si>
  <si>
    <t>MUH4204</t>
  </si>
  <si>
    <t>Learning and Challenging the Historical Narrative</t>
  </si>
  <si>
    <t>MUL1105</t>
  </si>
  <si>
    <t>Italian for Musicians 1</t>
  </si>
  <si>
    <t>MUL2107</t>
  </si>
  <si>
    <t>French for Musicians 1</t>
  </si>
  <si>
    <t>MUL2109</t>
  </si>
  <si>
    <t>German for Musicians 1</t>
  </si>
  <si>
    <t>MUT1101</t>
  </si>
  <si>
    <t>Musical Concepts and Materials 1</t>
  </si>
  <si>
    <t>MUT1201</t>
  </si>
  <si>
    <t>Introduction to Classical Music Composition</t>
  </si>
  <si>
    <t>MUT2204</t>
  </si>
  <si>
    <t>Formal Practices</t>
  </si>
  <si>
    <t>MUT2205</t>
  </si>
  <si>
    <t>Text and Music</t>
  </si>
  <si>
    <t>MUT3113</t>
  </si>
  <si>
    <t>Orchestration</t>
  </si>
  <si>
    <t>MUT3215</t>
  </si>
  <si>
    <t>Composition for Non-Majors</t>
  </si>
  <si>
    <t>MUT3222</t>
  </si>
  <si>
    <t>Choral Composition</t>
  </si>
  <si>
    <t>MUT3224</t>
  </si>
  <si>
    <t>Teaching Music Online</t>
  </si>
  <si>
    <t>MUT4201</t>
  </si>
  <si>
    <t>Graduate Theory Preparation</t>
  </si>
  <si>
    <t>NGN2001A</t>
  </si>
  <si>
    <t>Global Narratives</t>
  </si>
  <si>
    <t>NGN2001B</t>
  </si>
  <si>
    <t>NGN2001C</t>
  </si>
  <si>
    <t>NGN2001D</t>
  </si>
  <si>
    <t>NGN2001E</t>
  </si>
  <si>
    <t>NGN2001F</t>
  </si>
  <si>
    <t>NGN2001G</t>
  </si>
  <si>
    <t>NGN2001H</t>
  </si>
  <si>
    <t>NGN2001I</t>
  </si>
  <si>
    <t>NGN2001J</t>
  </si>
  <si>
    <t>NGN2001K</t>
  </si>
  <si>
    <t>NGN2001M</t>
  </si>
  <si>
    <t>NHS3901</t>
  </si>
  <si>
    <t>NHS3902</t>
  </si>
  <si>
    <t>NHS3911EC</t>
  </si>
  <si>
    <t>NHS3911EL</t>
  </si>
  <si>
    <t>NHS3911EN</t>
  </si>
  <si>
    <t>NHS3911PS</t>
  </si>
  <si>
    <t>NHS3911SC</t>
  </si>
  <si>
    <t>NHS4911PS</t>
  </si>
  <si>
    <t>NHS4912PH</t>
  </si>
  <si>
    <t>NM1101E</t>
  </si>
  <si>
    <t>Communications, New Media and Society</t>
  </si>
  <si>
    <t>NM2101</t>
  </si>
  <si>
    <t>Theories of Communications and New Media</t>
  </si>
  <si>
    <t>NM2103</t>
  </si>
  <si>
    <t>Quantitative Research Methods</t>
  </si>
  <si>
    <t>NM2104</t>
  </si>
  <si>
    <t>Qualitative Communication Research Methods</t>
  </si>
  <si>
    <t>NM2209</t>
  </si>
  <si>
    <t>Social Psychology of New Media</t>
  </si>
  <si>
    <t>NM2219</t>
  </si>
  <si>
    <t>Principles of Communication Management</t>
  </si>
  <si>
    <t>NM2220</t>
  </si>
  <si>
    <t>Introduction to Media Writing</t>
  </si>
  <si>
    <t>NM2223</t>
  </si>
  <si>
    <t>Media Law and Policy</t>
  </si>
  <si>
    <t>NM3205</t>
  </si>
  <si>
    <t>Digital Media Cultures</t>
  </si>
  <si>
    <t>NM3217</t>
  </si>
  <si>
    <t>Principles of Visual Communication Design</t>
  </si>
  <si>
    <t>NM3230</t>
  </si>
  <si>
    <t>Digital Storytelling</t>
  </si>
  <si>
    <t>NM3241</t>
  </si>
  <si>
    <t>Cultural Studies: Theory and Practice</t>
  </si>
  <si>
    <t>NM3242</t>
  </si>
  <si>
    <t>Organisational Communication and Leadership</t>
  </si>
  <si>
    <t>NM3243</t>
  </si>
  <si>
    <t>User Experience Design</t>
  </si>
  <si>
    <t>NM3550Y</t>
  </si>
  <si>
    <t>Communications &amp; New Media Internship</t>
  </si>
  <si>
    <t>NM3551</t>
  </si>
  <si>
    <t>NM4102</t>
  </si>
  <si>
    <t>Advanced Communications &amp; New Media Research</t>
  </si>
  <si>
    <t>NM4207</t>
  </si>
  <si>
    <t>Managing Communication Campaigns</t>
  </si>
  <si>
    <t>NM4208</t>
  </si>
  <si>
    <t>Strategic Communication Design</t>
  </si>
  <si>
    <t>NM4212</t>
  </si>
  <si>
    <t>Race, Global Media, and Representation</t>
  </si>
  <si>
    <t>NM4228</t>
  </si>
  <si>
    <t>Risk and Crisis Communication</t>
  </si>
  <si>
    <t>NM4242</t>
  </si>
  <si>
    <t>Critical Perspectives on Technology</t>
  </si>
  <si>
    <t>NM4244</t>
  </si>
  <si>
    <t>Sex in the Media</t>
  </si>
  <si>
    <t>NM4245</t>
  </si>
  <si>
    <t>Political Communication</t>
  </si>
  <si>
    <t>NM4247</t>
  </si>
  <si>
    <t>Creative Writing in the Marketplace</t>
  </si>
  <si>
    <t>NM4249</t>
  </si>
  <si>
    <t>Media &amp; Audiences</t>
  </si>
  <si>
    <t>NM4250</t>
  </si>
  <si>
    <t>Data Journalism and Analysis</t>
  </si>
  <si>
    <t>NM4254</t>
  </si>
  <si>
    <t>The City and Public Culture</t>
  </si>
  <si>
    <t>NM4259</t>
  </si>
  <si>
    <t>Mobile Interaction Design</t>
  </si>
  <si>
    <t>NM4260</t>
  </si>
  <si>
    <t>Game Design</t>
  </si>
  <si>
    <t>NM4401</t>
  </si>
  <si>
    <t>NM4660</t>
  </si>
  <si>
    <t>NM5218</t>
  </si>
  <si>
    <t>Cultural Policy</t>
  </si>
  <si>
    <t>NM5218R</t>
  </si>
  <si>
    <t>NM5660</t>
  </si>
  <si>
    <t>NM6101</t>
  </si>
  <si>
    <t>ADVANCED THEORIES IN CNM</t>
  </si>
  <si>
    <t>NM6104</t>
  </si>
  <si>
    <t>Qualitative Research Methods in Communications and New Media</t>
  </si>
  <si>
    <t>NM6660</t>
  </si>
  <si>
    <t>NMC5301</t>
  </si>
  <si>
    <t>Strategic and Global Communication</t>
  </si>
  <si>
    <t>NMC5302</t>
  </si>
  <si>
    <t>Digital Communications and Analytics</t>
  </si>
  <si>
    <t>NMC5306</t>
  </si>
  <si>
    <t>Communications and Leadership</t>
  </si>
  <si>
    <t>NMC5307</t>
  </si>
  <si>
    <t>Final Year Project in Communication</t>
  </si>
  <si>
    <t>NMC5322</t>
  </si>
  <si>
    <t>Interactive Media Marketing Practices</t>
  </si>
  <si>
    <t>NMC5324</t>
  </si>
  <si>
    <t>Uses of Communication Research</t>
  </si>
  <si>
    <t>NMC5342</t>
  </si>
  <si>
    <t>Introduction to Applied Social Media Analytics</t>
  </si>
  <si>
    <t>NMC5344</t>
  </si>
  <si>
    <t>Coding for Communicators</t>
  </si>
  <si>
    <t>NMC5367</t>
  </si>
  <si>
    <t>The Global Audience</t>
  </si>
  <si>
    <t>NST3901</t>
  </si>
  <si>
    <t>Independent Study Module (ST)</t>
  </si>
  <si>
    <t>NST3902</t>
  </si>
  <si>
    <t>NSW2001A</t>
  </si>
  <si>
    <t>Understanding the Social World: Singapore &amp; Beyond</t>
  </si>
  <si>
    <t>NSW2001B</t>
  </si>
  <si>
    <t>NSW2001C</t>
  </si>
  <si>
    <t>NSW2001D</t>
  </si>
  <si>
    <t>NSW2001E</t>
  </si>
  <si>
    <t>NSW2001F</t>
  </si>
  <si>
    <t>NSW2001G</t>
  </si>
  <si>
    <t>NSW2001H</t>
  </si>
  <si>
    <t>NSW2001I</t>
  </si>
  <si>
    <t>NSW2001J</t>
  </si>
  <si>
    <t>NSW2001K</t>
  </si>
  <si>
    <t>NTW2006</t>
  </si>
  <si>
    <t>Human Trafficking and Labour Migration</t>
  </si>
  <si>
    <t>NTW2007</t>
  </si>
  <si>
    <t>Apocalyptic Cultures</t>
  </si>
  <si>
    <t>NTW2010</t>
  </si>
  <si>
    <t>Sites of Tourism</t>
  </si>
  <si>
    <t>NTW2012</t>
  </si>
  <si>
    <t>Conditions of Happiness</t>
  </si>
  <si>
    <t>NTW2028</t>
  </si>
  <si>
    <t>The Social Life of Science</t>
  </si>
  <si>
    <t>NTW2029</t>
  </si>
  <si>
    <t>Evolutionary Psychology and Art</t>
  </si>
  <si>
    <t>NTW2030</t>
  </si>
  <si>
    <t>Art as Action: Caring about the Climate Crisis in SEA</t>
  </si>
  <si>
    <t>NTW2031</t>
  </si>
  <si>
    <t>Equity and Education</t>
  </si>
  <si>
    <t>NTW2032</t>
  </si>
  <si>
    <t>The Self in Health and Longevity</t>
  </si>
  <si>
    <t>NUR1107B</t>
  </si>
  <si>
    <t>Clinical Practice: Community Care I</t>
  </si>
  <si>
    <t>Alice Lee Ctr for Nursing Stud</t>
  </si>
  <si>
    <t>NUR1108B</t>
  </si>
  <si>
    <t>Clinical Practice: Medical/Surgical I</t>
  </si>
  <si>
    <t>NUR1110A</t>
  </si>
  <si>
    <t>Communication and Cultural Diversity</t>
  </si>
  <si>
    <t>NUR1113A</t>
  </si>
  <si>
    <t>Healthy Ageing and Well-being</t>
  </si>
  <si>
    <t>NUR1114A</t>
  </si>
  <si>
    <t>Fundamentals of Care</t>
  </si>
  <si>
    <t>NUR1123</t>
  </si>
  <si>
    <t>Anatomy, Physiology and Physical Assessment I</t>
  </si>
  <si>
    <t>NUR1125</t>
  </si>
  <si>
    <t>Pathophysiology, Pharmacology and Nursing Practice I</t>
  </si>
  <si>
    <t>NUR1202C</t>
  </si>
  <si>
    <t>Clinical Experience I</t>
  </si>
  <si>
    <t>NUR2106B</t>
  </si>
  <si>
    <t>Clinical Practice: Medical/Surgical II</t>
  </si>
  <si>
    <t>NUR2107B</t>
  </si>
  <si>
    <t>Clinical Practice: Specialty Care</t>
  </si>
  <si>
    <t>NUR2113</t>
  </si>
  <si>
    <t>Mental Health Nursing</t>
  </si>
  <si>
    <t>NUR2120</t>
  </si>
  <si>
    <t>Professional Nursing Practice, Ethics and Law</t>
  </si>
  <si>
    <t>NUR2203C</t>
  </si>
  <si>
    <t>Clinical Experience II</t>
  </si>
  <si>
    <t>NUR2204C</t>
  </si>
  <si>
    <t>Women and Children Health</t>
  </si>
  <si>
    <t>NUR2441A</t>
  </si>
  <si>
    <t>Cross-cultural Experience for Nursing Students I</t>
  </si>
  <si>
    <t>NUR2500</t>
  </si>
  <si>
    <t>Applied Pathophysiology and Clinical Pharmacology</t>
  </si>
  <si>
    <t>NUR2501</t>
  </si>
  <si>
    <t>Clinical Health Assessment and Reasoning</t>
  </si>
  <si>
    <t>NUR3105B</t>
  </si>
  <si>
    <t>Clinical Practice: Community Care II</t>
  </si>
  <si>
    <t>NUR3105C</t>
  </si>
  <si>
    <t>NUR3106B</t>
  </si>
  <si>
    <t>NUR3114</t>
  </si>
  <si>
    <t>Leadership and Management</t>
  </si>
  <si>
    <t>NUR3117A</t>
  </si>
  <si>
    <t>Public and Community Health</t>
  </si>
  <si>
    <t>NUR3119</t>
  </si>
  <si>
    <t>Palliative and End-of-Life Care</t>
  </si>
  <si>
    <t>NUR3120</t>
  </si>
  <si>
    <t>Pathophysiology, Pharmacology and Nursing Practice III</t>
  </si>
  <si>
    <t>NUR3202C</t>
  </si>
  <si>
    <t>Research and Evidence-based Healthcare</t>
  </si>
  <si>
    <t>NUR3204C</t>
  </si>
  <si>
    <t>Clinical Experience III</t>
  </si>
  <si>
    <t>NUR3500</t>
  </si>
  <si>
    <t>Practice of Palliative and End-of-Life Care</t>
  </si>
  <si>
    <t>NUR3501</t>
  </si>
  <si>
    <t>Professionalism, Ethics and Law in Healthcare</t>
  </si>
  <si>
    <t>NUR3504</t>
  </si>
  <si>
    <t>Chronic Disease Management</t>
  </si>
  <si>
    <t>NUR3505</t>
  </si>
  <si>
    <t>Research Methodology and Statistics</t>
  </si>
  <si>
    <t>NUR4101B</t>
  </si>
  <si>
    <t>Evidence-based Health Care Practice</t>
  </si>
  <si>
    <t>NUR4103B</t>
  </si>
  <si>
    <t>Applied Research Methods</t>
  </si>
  <si>
    <t>NUR4104B</t>
  </si>
  <si>
    <t>Honours Project in Nursing</t>
  </si>
  <si>
    <t>NUR5003</t>
  </si>
  <si>
    <t>NUR5610</t>
  </si>
  <si>
    <t>Integrated Clinical Decision Making II (Paediatric)</t>
  </si>
  <si>
    <t>NUR5613</t>
  </si>
  <si>
    <t>Paediatric Care Across Care Continuum</t>
  </si>
  <si>
    <t>NUR5703</t>
  </si>
  <si>
    <t>Assessment and Evaluation</t>
  </si>
  <si>
    <t>NUR5704</t>
  </si>
  <si>
    <t>Capstone Project</t>
  </si>
  <si>
    <t>NUR5711</t>
  </si>
  <si>
    <t>Principles of Child and Family Health</t>
  </si>
  <si>
    <t>NUR5712</t>
  </si>
  <si>
    <t>Maternal and Infant Health Across Perinatal Period</t>
  </si>
  <si>
    <t>NUR5802G</t>
  </si>
  <si>
    <t>Integrated Clinical Decision Making and Management II</t>
  </si>
  <si>
    <t>NUR5803G</t>
  </si>
  <si>
    <t>Community Health Practice</t>
  </si>
  <si>
    <t>NUR5804G</t>
  </si>
  <si>
    <t>Chronic Disease Management in the Community</t>
  </si>
  <si>
    <t>NUR5805G</t>
  </si>
  <si>
    <t>Chronic Wound Management in the Community</t>
  </si>
  <si>
    <t>NUR5806G</t>
  </si>
  <si>
    <t>Evidence-based Practice</t>
  </si>
  <si>
    <t>NUR5808</t>
  </si>
  <si>
    <t>Adult Care Across Care Continuum</t>
  </si>
  <si>
    <t>NUR5811C</t>
  </si>
  <si>
    <t>Clinical Practicum III</t>
  </si>
  <si>
    <t>NUR6001</t>
  </si>
  <si>
    <t>NUR6003</t>
  </si>
  <si>
    <t>Research Methods</t>
  </si>
  <si>
    <t>NUR6004</t>
  </si>
  <si>
    <t>Systematic Review and Meta-Analysis</t>
  </si>
  <si>
    <t>NUR6006</t>
  </si>
  <si>
    <t>Intervention Research in Nursing and Health Sciences</t>
  </si>
  <si>
    <t>OT5001</t>
  </si>
  <si>
    <t>OT5001A</t>
  </si>
  <si>
    <t>Independent Study Module: Subsea Engineering</t>
  </si>
  <si>
    <t>OT5001B</t>
  </si>
  <si>
    <t>Independent Study Module: Petroleum Engineering</t>
  </si>
  <si>
    <t>OT5102</t>
  </si>
  <si>
    <t>Oil &amp; Gas Technology</t>
  </si>
  <si>
    <t>PC1101</t>
  </si>
  <si>
    <t>Frontiers of Physics</t>
  </si>
  <si>
    <t>PC1201</t>
  </si>
  <si>
    <t>Fundamentals of Physics</t>
  </si>
  <si>
    <t>PC1421</t>
  </si>
  <si>
    <t>Physics for Life Sciences</t>
  </si>
  <si>
    <t>PC2020</t>
  </si>
  <si>
    <t>Electromagnetics for Electrical Engineers</t>
  </si>
  <si>
    <t>PC2031</t>
  </si>
  <si>
    <t>Electricity &amp; Magnetism I</t>
  </si>
  <si>
    <t>PC2032</t>
  </si>
  <si>
    <t>Classical Mechanics I</t>
  </si>
  <si>
    <t>PC2130</t>
  </si>
  <si>
    <t>Quantum Mechanics I</t>
  </si>
  <si>
    <t>PC2174A</t>
  </si>
  <si>
    <t>Mathematical Methods in Physics I</t>
  </si>
  <si>
    <t>PC2193</t>
  </si>
  <si>
    <t>Experimental Physics and Data Analysis</t>
  </si>
  <si>
    <t>PC2239</t>
  </si>
  <si>
    <t>Special Problems in Undergrad Physics I</t>
  </si>
  <si>
    <t>PC2267</t>
  </si>
  <si>
    <t>Biophysics I</t>
  </si>
  <si>
    <t>PC2288</t>
  </si>
  <si>
    <t>Basic UROPS in Physics I</t>
  </si>
  <si>
    <t>PC2289</t>
  </si>
  <si>
    <t>Basic UROPS in Physics II</t>
  </si>
  <si>
    <t>PC2411</t>
  </si>
  <si>
    <t>Practical Astronomy</t>
  </si>
  <si>
    <t>PC3130</t>
  </si>
  <si>
    <t>Quantum Mechanics II</t>
  </si>
  <si>
    <t>PC3193</t>
  </si>
  <si>
    <t>Experimental Physics II</t>
  </si>
  <si>
    <t>PC3231</t>
  </si>
  <si>
    <t>Electricity &amp; Magnetism II</t>
  </si>
  <si>
    <t>PC3235</t>
  </si>
  <si>
    <t>Solid State Physics I</t>
  </si>
  <si>
    <t>PC3238</t>
  </si>
  <si>
    <t>Fluid Dynamics</t>
  </si>
  <si>
    <t>PC3239</t>
  </si>
  <si>
    <t>Special Problems in Undergrad Physics II</t>
  </si>
  <si>
    <t>PC3242</t>
  </si>
  <si>
    <t>Nanofabrication and Nanocharacterization</t>
  </si>
  <si>
    <t>PC3247</t>
  </si>
  <si>
    <t>Modern Optics</t>
  </si>
  <si>
    <t>PC3261</t>
  </si>
  <si>
    <t>Classical Mechanics II</t>
  </si>
  <si>
    <t>PC3288</t>
  </si>
  <si>
    <t>Advanced UROPS in Physics I</t>
  </si>
  <si>
    <t>PC3289</t>
  </si>
  <si>
    <t>Advanced UROPS in Physics II</t>
  </si>
  <si>
    <t>PC3294</t>
  </si>
  <si>
    <t>Radiation Laboratory</t>
  </si>
  <si>
    <t>PC3312</t>
  </si>
  <si>
    <t>PC4199</t>
  </si>
  <si>
    <t>Honours Project in Physics</t>
  </si>
  <si>
    <t>PC4199R</t>
  </si>
  <si>
    <t>Integrated B.ENG./B.SC. (Hons) Dissertation</t>
  </si>
  <si>
    <t>PC4230</t>
  </si>
  <si>
    <t>Quantum Mechanics III</t>
  </si>
  <si>
    <t>PC4236</t>
  </si>
  <si>
    <t>Computational Condensed Matter Physics</t>
  </si>
  <si>
    <t>PC4240</t>
  </si>
  <si>
    <t>Solid State Physics II</t>
  </si>
  <si>
    <t>PC4248</t>
  </si>
  <si>
    <t>General Relativity</t>
  </si>
  <si>
    <t>PC4249</t>
  </si>
  <si>
    <t>Astrophysics II</t>
  </si>
  <si>
    <t>PC4267</t>
  </si>
  <si>
    <t>Biophysics III</t>
  </si>
  <si>
    <t>PC5101</t>
  </si>
  <si>
    <t>Physics and Technology</t>
  </si>
  <si>
    <t>PC5201</t>
  </si>
  <si>
    <t>Advanced Quantum Mechanics</t>
  </si>
  <si>
    <t>PC5203</t>
  </si>
  <si>
    <t>Advanced Solid State Physics</t>
  </si>
  <si>
    <t>PC5204</t>
  </si>
  <si>
    <t>Magnetism and Spintronics</t>
  </si>
  <si>
    <t>PC5204B</t>
  </si>
  <si>
    <t>Selected Topics in Physics: Analytic Approximations</t>
  </si>
  <si>
    <t>PC5205</t>
  </si>
  <si>
    <t>TOPICS IN SURFACE PHYSICS</t>
  </si>
  <si>
    <t>PC5207</t>
  </si>
  <si>
    <t>TOPICS IN OPTICAL PHYSICS</t>
  </si>
  <si>
    <t>PC5209</t>
  </si>
  <si>
    <t>Accelerator Based Materials Characterisation</t>
  </si>
  <si>
    <t>PC5212</t>
  </si>
  <si>
    <t>Physics of Nanostructures</t>
  </si>
  <si>
    <t>PC5215</t>
  </si>
  <si>
    <t>NUMERICAL RECIPES WITH APPLICATIONS</t>
  </si>
  <si>
    <t>PC5228</t>
  </si>
  <si>
    <t>Quantum Information and Computation</t>
  </si>
  <si>
    <t>PC5286</t>
  </si>
  <si>
    <t>MSc Physics Coursework Project</t>
  </si>
  <si>
    <t>PC5287</t>
  </si>
  <si>
    <t>M.SC Coursework Thesis for Physics And Technology</t>
  </si>
  <si>
    <t>PC5288</t>
  </si>
  <si>
    <t>M.SC COURSEWORK THESIS FOR PHYSICS</t>
  </si>
  <si>
    <t>PC5289</t>
  </si>
  <si>
    <t>M.SC.(COURSEWORK) THESIS FOR APPLIED PHYSICS</t>
  </si>
  <si>
    <t>PE3101P</t>
  </si>
  <si>
    <t>Decision and Social Choice</t>
  </si>
  <si>
    <t>PE3551S</t>
  </si>
  <si>
    <t>PE4102P</t>
  </si>
  <si>
    <t>Welfare and Distribution</t>
  </si>
  <si>
    <t>PE4401E</t>
  </si>
  <si>
    <t>PE4401P</t>
  </si>
  <si>
    <t>PE4401S</t>
  </si>
  <si>
    <t>PE4402E</t>
  </si>
  <si>
    <t>Research Internship Project</t>
  </si>
  <si>
    <t>PE4402S</t>
  </si>
  <si>
    <t>PE4660P</t>
  </si>
  <si>
    <t>PE4660S</t>
  </si>
  <si>
    <t>PF1101</t>
  </si>
  <si>
    <t>Fundamentals of Project Management</t>
  </si>
  <si>
    <t>PF1107</t>
  </si>
  <si>
    <t>PF2102</t>
  </si>
  <si>
    <t>Structural Systems</t>
  </si>
  <si>
    <t>PF2107</t>
  </si>
  <si>
    <t>PF2109</t>
  </si>
  <si>
    <t>Project Feasibility</t>
  </si>
  <si>
    <t>PF2205</t>
  </si>
  <si>
    <t>Project Finance</t>
  </si>
  <si>
    <t>PF3104</t>
  </si>
  <si>
    <t>Project Execution</t>
  </si>
  <si>
    <t>PF3105</t>
  </si>
  <si>
    <t>PF3205</t>
  </si>
  <si>
    <t>Advanced Measurement</t>
  </si>
  <si>
    <t>PF3208</t>
  </si>
  <si>
    <t>Project Leadership</t>
  </si>
  <si>
    <t>PF3209</t>
  </si>
  <si>
    <t>Building Information Modelling</t>
  </si>
  <si>
    <t>PF3210</t>
  </si>
  <si>
    <t>Total Building Performance</t>
  </si>
  <si>
    <t>PF3211</t>
  </si>
  <si>
    <t>AI Applications for the Built Environment</t>
  </si>
  <si>
    <t>PF3307</t>
  </si>
  <si>
    <t>Strategic Facilities Management</t>
  </si>
  <si>
    <t>PF3504</t>
  </si>
  <si>
    <t>Energy Management</t>
  </si>
  <si>
    <t>PF4101</t>
  </si>
  <si>
    <t>PF4102</t>
  </si>
  <si>
    <t>Contract and Procurement Management</t>
  </si>
  <si>
    <t>PF4209</t>
  </si>
  <si>
    <t>Construction Enterprise Management</t>
  </si>
  <si>
    <t>PF4213</t>
  </si>
  <si>
    <t>Building Energy Analysis and Simulation</t>
  </si>
  <si>
    <t>PF4309</t>
  </si>
  <si>
    <t>Infrastructure Operations and Maintenance</t>
  </si>
  <si>
    <t>PF4502</t>
  </si>
  <si>
    <t>Green Development</t>
  </si>
  <si>
    <t>PH2208</t>
  </si>
  <si>
    <t>Applied Ethics</t>
  </si>
  <si>
    <t>PH2209</t>
  </si>
  <si>
    <t>Philosophy of Art</t>
  </si>
  <si>
    <t>PH2211</t>
  </si>
  <si>
    <t>Philosophy of Religion</t>
  </si>
  <si>
    <t>PH2212</t>
  </si>
  <si>
    <t>PH2241</t>
  </si>
  <si>
    <t>Philosophy of Mind</t>
  </si>
  <si>
    <t>PH2243</t>
  </si>
  <si>
    <t>Epistemology</t>
  </si>
  <si>
    <t>PH3203</t>
  </si>
  <si>
    <t>Moral Philosophy</t>
  </si>
  <si>
    <t>PH3217</t>
  </si>
  <si>
    <t>Feminist Philosophy</t>
  </si>
  <si>
    <t>PH3245</t>
  </si>
  <si>
    <t>Language and Thought</t>
  </si>
  <si>
    <t>PH3250</t>
  </si>
  <si>
    <t>Quantification and Modality</t>
  </si>
  <si>
    <t>PH3252</t>
  </si>
  <si>
    <t>Introduction to Philosophy of Mathematics</t>
  </si>
  <si>
    <t>PH3551</t>
  </si>
  <si>
    <t>PH4202</t>
  </si>
  <si>
    <t>Political Philosophy</t>
  </si>
  <si>
    <t>PH4203</t>
  </si>
  <si>
    <t>Issues in Moral Philosophy</t>
  </si>
  <si>
    <t>PH4206</t>
  </si>
  <si>
    <t>A Major Philosopher</t>
  </si>
  <si>
    <t>PH4214</t>
  </si>
  <si>
    <t>Recent Continental European Philosophy</t>
  </si>
  <si>
    <t>PH4244</t>
  </si>
  <si>
    <t>Issues in Philosophy of Mathematics</t>
  </si>
  <si>
    <t>PH4401</t>
  </si>
  <si>
    <t>PH4550</t>
  </si>
  <si>
    <t>Internship: Philosophy for Teaching</t>
  </si>
  <si>
    <t>PH4660</t>
  </si>
  <si>
    <t>PH5420</t>
  </si>
  <si>
    <t>Advanced Political Philosophy</t>
  </si>
  <si>
    <t>PH5430</t>
  </si>
  <si>
    <t>ETHICS</t>
  </si>
  <si>
    <t>PH5430R</t>
  </si>
  <si>
    <t>Ethics</t>
  </si>
  <si>
    <t>PH5650</t>
  </si>
  <si>
    <t>Topics In Continental Philosophy</t>
  </si>
  <si>
    <t>PH5660</t>
  </si>
  <si>
    <t>PH6660</t>
  </si>
  <si>
    <t>PH6770</t>
  </si>
  <si>
    <t>PHS1101</t>
  </si>
  <si>
    <t>The Billion-Dollar Pill - Bench to Bedside Drug Development</t>
  </si>
  <si>
    <t>Pharmacy</t>
  </si>
  <si>
    <t>PHS2101</t>
  </si>
  <si>
    <t>Physiology for Pharmaceutical Science</t>
  </si>
  <si>
    <t>PHS2103</t>
  </si>
  <si>
    <t>Essentials of Pharmaceutical and Synthetic Chemistry</t>
  </si>
  <si>
    <t>PHS2117</t>
  </si>
  <si>
    <t>Principles of Pharmaceutical Formulations II</t>
  </si>
  <si>
    <t>PHS3116</t>
  </si>
  <si>
    <t>Pharmacokinetics and Biopharmaceutics</t>
  </si>
  <si>
    <t>PHS3122</t>
  </si>
  <si>
    <t>Pharmaceutical Quality Management</t>
  </si>
  <si>
    <t>PHS3123</t>
  </si>
  <si>
    <t>Biotechnology for Pharmaceutical Science</t>
  </si>
  <si>
    <t>PHS3191</t>
  </si>
  <si>
    <t>Laboratory Techniques in Pharmaceutical Science II</t>
  </si>
  <si>
    <t>PHS3312</t>
  </si>
  <si>
    <t>PHS4121</t>
  </si>
  <si>
    <t>Regulation of Healthcare Products</t>
  </si>
  <si>
    <t>PHS4199</t>
  </si>
  <si>
    <t>Honours Project in Pharmaceutical Science</t>
  </si>
  <si>
    <t>PL1101E</t>
  </si>
  <si>
    <t>Introduction to Psychology</t>
  </si>
  <si>
    <t>Psychology</t>
  </si>
  <si>
    <t>PL2131</t>
  </si>
  <si>
    <t>Research and Statistical Methods I</t>
  </si>
  <si>
    <t>PL2132</t>
  </si>
  <si>
    <t>Research and Statistical Methods II</t>
  </si>
  <si>
    <t>PL3102</t>
  </si>
  <si>
    <t>Biological Psychology</t>
  </si>
  <si>
    <t>PL3103</t>
  </si>
  <si>
    <t>Cognitive Psychology</t>
  </si>
  <si>
    <t>PL3104</t>
  </si>
  <si>
    <t>Developmental Psychology</t>
  </si>
  <si>
    <t>PL3105</t>
  </si>
  <si>
    <t>Social Psychology</t>
  </si>
  <si>
    <t>PL3106</t>
  </si>
  <si>
    <t>Abnormal Psychology</t>
  </si>
  <si>
    <t>PL3231</t>
  </si>
  <si>
    <t>PL3252</t>
  </si>
  <si>
    <t>Social-Cognitive Perspectives on Emotion</t>
  </si>
  <si>
    <t>PL3257</t>
  </si>
  <si>
    <t>Introduction to Clinical Psychology</t>
  </si>
  <si>
    <t>PL3260</t>
  </si>
  <si>
    <t>Moral Development</t>
  </si>
  <si>
    <t>PL3281</t>
  </si>
  <si>
    <t>Lab in Cognitive Psychology</t>
  </si>
  <si>
    <t>PL3281D</t>
  </si>
  <si>
    <t>Lab in Music Perception and Cognition</t>
  </si>
  <si>
    <t>PL3281E</t>
  </si>
  <si>
    <t>Lab in Speech and Language Processes</t>
  </si>
  <si>
    <t>PL3282</t>
  </si>
  <si>
    <t>Lab in Social Psychology</t>
  </si>
  <si>
    <t>PL3283</t>
  </si>
  <si>
    <t>Lab in Developmental Psychology</t>
  </si>
  <si>
    <t>PL3284</t>
  </si>
  <si>
    <t>Lab in Applied Psychology (Scale Construction)</t>
  </si>
  <si>
    <t>PL3287A</t>
  </si>
  <si>
    <t>Lab in Personality and Psychopathology</t>
  </si>
  <si>
    <t>PL3551</t>
  </si>
  <si>
    <t>PL4201</t>
  </si>
  <si>
    <t>Psychometrics and Psychological Testing</t>
  </si>
  <si>
    <t>PL4205</t>
  </si>
  <si>
    <t>Developmental Processes</t>
  </si>
  <si>
    <t>PL4206</t>
  </si>
  <si>
    <t>Cognitive Neuroscience</t>
  </si>
  <si>
    <t>PL4218</t>
  </si>
  <si>
    <t>Psychological Assessment</t>
  </si>
  <si>
    <t>PL4219</t>
  </si>
  <si>
    <t>Advanced Abnormal Psychology</t>
  </si>
  <si>
    <t>PL4224</t>
  </si>
  <si>
    <t>Child Abnormal Psychology</t>
  </si>
  <si>
    <t>PL4227</t>
  </si>
  <si>
    <t>Behavioral Genetics for Social Scientists</t>
  </si>
  <si>
    <t>PL4228</t>
  </si>
  <si>
    <t>Criminal Forensic Psychology</t>
  </si>
  <si>
    <t>PL4229</t>
  </si>
  <si>
    <t>Psychological Therapies</t>
  </si>
  <si>
    <t>PL4234</t>
  </si>
  <si>
    <t>Patient and Health Care  </t>
  </si>
  <si>
    <t>PL4236</t>
  </si>
  <si>
    <t>Autism Spectrum and Related Conditions</t>
  </si>
  <si>
    <t>PL4242</t>
  </si>
  <si>
    <t>Historical Controversies in Psychology</t>
  </si>
  <si>
    <t>PL4245</t>
  </si>
  <si>
    <t>Data Science for Psychology: Methods and Applications</t>
  </si>
  <si>
    <t>PL4246</t>
  </si>
  <si>
    <t>Networks in Psychology</t>
  </si>
  <si>
    <t>PL4247</t>
  </si>
  <si>
    <t>Application of Psychology to Fears and Phobias</t>
  </si>
  <si>
    <t>PL4401</t>
  </si>
  <si>
    <t>PL4501</t>
  </si>
  <si>
    <t>Integrated Thesis</t>
  </si>
  <si>
    <t>PL4660</t>
  </si>
  <si>
    <t>PL4880H</t>
  </si>
  <si>
    <t>Sport Psychology</t>
  </si>
  <si>
    <t>PL4880K</t>
  </si>
  <si>
    <t>Parenting and Child Development</t>
  </si>
  <si>
    <t>PL4880P</t>
  </si>
  <si>
    <t>Psychology of Religion</t>
  </si>
  <si>
    <t>PL4880R</t>
  </si>
  <si>
    <t>Issues in Adolescent Developmt</t>
  </si>
  <si>
    <t>PL4880T</t>
  </si>
  <si>
    <t>Applying Psychology In Education</t>
  </si>
  <si>
    <t>PL5221</t>
  </si>
  <si>
    <t>ANALYSIS OF PSYCHOLOGICAL DATA USING GLM</t>
  </si>
  <si>
    <t>PL5221R</t>
  </si>
  <si>
    <t>Analysis of Psychological Data using GLM</t>
  </si>
  <si>
    <t>PL5303</t>
  </si>
  <si>
    <t>ADVANCED COGNITIVE PSYCHOLOGY</t>
  </si>
  <si>
    <t>PL5303R</t>
  </si>
  <si>
    <t>PL5660</t>
  </si>
  <si>
    <t>PL6208</t>
  </si>
  <si>
    <t>Empirical Research Project</t>
  </si>
  <si>
    <t>PL6215</t>
  </si>
  <si>
    <t>SELECTED APPLICATIONS IN PSYCHOLOGY</t>
  </si>
  <si>
    <t>PL6660</t>
  </si>
  <si>
    <t>PL6770</t>
  </si>
  <si>
    <t>PL6885</t>
  </si>
  <si>
    <t>Selected Topics in Social, Personality, I-O Psychology</t>
  </si>
  <si>
    <t>PLC5001</t>
  </si>
  <si>
    <t>PSYCHOLOGICAL ASSESSMENT</t>
  </si>
  <si>
    <t>PLC5002</t>
  </si>
  <si>
    <t>Adult Psychopathology</t>
  </si>
  <si>
    <t>PLC5004</t>
  </si>
  <si>
    <t>PSYCHOLOGICAL INTERVENTION AND THERAPY</t>
  </si>
  <si>
    <t>PLC5005</t>
  </si>
  <si>
    <t>Child Psychopathology</t>
  </si>
  <si>
    <t>PLC5006</t>
  </si>
  <si>
    <t>Ethics and Professional Issues</t>
  </si>
  <si>
    <t>PLC5007</t>
  </si>
  <si>
    <t>Advanced Psychological Practice</t>
  </si>
  <si>
    <t>PLC5009</t>
  </si>
  <si>
    <t>RESEARCH PROPOSAL</t>
  </si>
  <si>
    <t>PLC5010</t>
  </si>
  <si>
    <t>PLC5011A</t>
  </si>
  <si>
    <t>Clinical Placement 1</t>
  </si>
  <si>
    <t>PLC5012B</t>
  </si>
  <si>
    <t>CLINICAL PLACEMENT 2</t>
  </si>
  <si>
    <t>PLC5013C</t>
  </si>
  <si>
    <t>CLINICAL PLACEMENT 3</t>
  </si>
  <si>
    <t>PLS8001</t>
  </si>
  <si>
    <t>Cultivating Collaboration</t>
  </si>
  <si>
    <t>PLS8002</t>
  </si>
  <si>
    <t>Cultivating the Self</t>
  </si>
  <si>
    <t>PLS8003</t>
  </si>
  <si>
    <t>Cultivating Resilience</t>
  </si>
  <si>
    <t>PLS8004</t>
  </si>
  <si>
    <t>Optimizing Performance</t>
  </si>
  <si>
    <t>PLS8005</t>
  </si>
  <si>
    <t>Elevating Interpersonal Communication</t>
  </si>
  <si>
    <t>PM5000</t>
  </si>
  <si>
    <t>PM5103</t>
  </si>
  <si>
    <t>CONTRACT MANAGEMENT</t>
  </si>
  <si>
    <t>PM5106</t>
  </si>
  <si>
    <t>DESIGN MANAGEMENT</t>
  </si>
  <si>
    <t>PM5111</t>
  </si>
  <si>
    <t>SPECIAL TOPICS IN PROJECT MANAGEMENT</t>
  </si>
  <si>
    <t>PM5112</t>
  </si>
  <si>
    <t>RESEARCH METHODS</t>
  </si>
  <si>
    <t>PM5113</t>
  </si>
  <si>
    <t>Managing Projects using BIM</t>
  </si>
  <si>
    <t>PM5114</t>
  </si>
  <si>
    <t>Managing Complex Projects</t>
  </si>
  <si>
    <t>PM5116</t>
  </si>
  <si>
    <t>Project Finance Case Studies</t>
  </si>
  <si>
    <t>PP5015</t>
  </si>
  <si>
    <t>Principles and Applications of Risk Management</t>
  </si>
  <si>
    <t>LKY School of Public Policy</t>
  </si>
  <si>
    <t>LKYSPP Dean's Office</t>
  </si>
  <si>
    <t>PP5016</t>
  </si>
  <si>
    <t>Environmental Threats and Management Response</t>
  </si>
  <si>
    <t>PP5017</t>
  </si>
  <si>
    <t>Climate Change and Managing Uncertainty</t>
  </si>
  <si>
    <t>PP5018</t>
  </si>
  <si>
    <t>Disaster Scenarios and Resilience Building</t>
  </si>
  <si>
    <t>PP5019</t>
  </si>
  <si>
    <t>Economic Development Strategy</t>
  </si>
  <si>
    <t>PP5020</t>
  </si>
  <si>
    <t>Analysis of Economic Growth</t>
  </si>
  <si>
    <t>PP5021</t>
  </si>
  <si>
    <t>Digital Transformation and Economic Prosperity</t>
  </si>
  <si>
    <t>PP5022</t>
  </si>
  <si>
    <t>Embracing Globalisation for Economic Growth</t>
  </si>
  <si>
    <t>PP5023</t>
  </si>
  <si>
    <t>Artificial Intelligence, Data and Public Policy</t>
  </si>
  <si>
    <t>PP5024</t>
  </si>
  <si>
    <t>Bitcoin, Ethereum, Digital Currencies and Public Policy</t>
  </si>
  <si>
    <t>PP5025</t>
  </si>
  <si>
    <t>Cloud, 5G, IoT and Public Policy</t>
  </si>
  <si>
    <t>PP5026</t>
  </si>
  <si>
    <t>3D Printing, Robots and Public Policy</t>
  </si>
  <si>
    <t>PP5027</t>
  </si>
  <si>
    <t>Food Security</t>
  </si>
  <si>
    <t>PP5028</t>
  </si>
  <si>
    <t>Food System Resilience</t>
  </si>
  <si>
    <t>PP5029</t>
  </si>
  <si>
    <t>Agricultural Economics and Policy</t>
  </si>
  <si>
    <t>PP5030</t>
  </si>
  <si>
    <t>Sustainable Urban Food System</t>
  </si>
  <si>
    <t>PP5149</t>
  </si>
  <si>
    <t>Big Data, Official Statistics, and Public Policy</t>
  </si>
  <si>
    <t>PP5203</t>
  </si>
  <si>
    <t>Behavioral Economics and Public Policy</t>
  </si>
  <si>
    <t>PP5227</t>
  </si>
  <si>
    <t>Principles and Policies in Sustainability and the Environment</t>
  </si>
  <si>
    <t>PP5234</t>
  </si>
  <si>
    <t>Economics of Developing Countries</t>
  </si>
  <si>
    <t>PP5267</t>
  </si>
  <si>
    <t>Urban Transport Policy: A Global View</t>
  </si>
  <si>
    <t>PP5278</t>
  </si>
  <si>
    <t>HEALTH ECONOMICS AND PUBLIC POLICY</t>
  </si>
  <si>
    <t>PP5288</t>
  </si>
  <si>
    <t>Labour Market Issues and Public Policy</t>
  </si>
  <si>
    <t>PP5297</t>
  </si>
  <si>
    <t>Public Policy for Sustainability</t>
  </si>
  <si>
    <t>PP5403</t>
  </si>
  <si>
    <t>Economic Foundations for Public Policy</t>
  </si>
  <si>
    <t>PP5406</t>
  </si>
  <si>
    <t>Research Methods for Public Policy 1</t>
  </si>
  <si>
    <t>PP5409</t>
  </si>
  <si>
    <t>Foundations of Public Policy</t>
  </si>
  <si>
    <t>PP5410</t>
  </si>
  <si>
    <t>Working with clients: PAE Basics</t>
  </si>
  <si>
    <t>PP5504</t>
  </si>
  <si>
    <t>Financial Management for Public Organisations</t>
  </si>
  <si>
    <t>PP5515</t>
  </si>
  <si>
    <t>Gender and Development</t>
  </si>
  <si>
    <t>PP5516</t>
  </si>
  <si>
    <t>Practical Political Risk Analysis</t>
  </si>
  <si>
    <t>PP5530</t>
  </si>
  <si>
    <t>A Practitioner's Guide to Big Data Analytics</t>
  </si>
  <si>
    <t>PP5534</t>
  </si>
  <si>
    <t>Geopolitics of Heritage</t>
  </si>
  <si>
    <t>PP5701</t>
  </si>
  <si>
    <t>Economic Applications for Public Organizations</t>
  </si>
  <si>
    <t>PP5702</t>
  </si>
  <si>
    <t>Public Administration in Theory and Practice</t>
  </si>
  <si>
    <t>PP5705</t>
  </si>
  <si>
    <t>Comparative Public Policy and Management: Singapore and Asia</t>
  </si>
  <si>
    <t>PP5706</t>
  </si>
  <si>
    <t>Economic and Business Environment</t>
  </si>
  <si>
    <t>PP5717</t>
  </si>
  <si>
    <t>Political Economy of East Asia</t>
  </si>
  <si>
    <t>PP5722</t>
  </si>
  <si>
    <t>PP5724</t>
  </si>
  <si>
    <t>Leadership Development</t>
  </si>
  <si>
    <t>PP5729</t>
  </si>
  <si>
    <t>Public Sector Communications</t>
  </si>
  <si>
    <t>PP5801</t>
  </si>
  <si>
    <t>Economic Analysis</t>
  </si>
  <si>
    <t>PP5803</t>
  </si>
  <si>
    <t>Public Management</t>
  </si>
  <si>
    <t>PP5901</t>
  </si>
  <si>
    <t>Introduction to International Relations Theory</t>
  </si>
  <si>
    <t>PP5903</t>
  </si>
  <si>
    <t>International Political Economy</t>
  </si>
  <si>
    <t>PP5904</t>
  </si>
  <si>
    <t>Research Methods in International Affairs</t>
  </si>
  <si>
    <t>PP5905</t>
  </si>
  <si>
    <t>Foreign Policy Analysis</t>
  </si>
  <si>
    <t>PP6703</t>
  </si>
  <si>
    <t>Foundations of Public Administration</t>
  </si>
  <si>
    <t>PP6706</t>
  </si>
  <si>
    <t>Quantitative Methods for Public Policy Research</t>
  </si>
  <si>
    <t>PP6707</t>
  </si>
  <si>
    <t>Qualitative Methods for Public Policy Research</t>
  </si>
  <si>
    <t>PR1150</t>
  </si>
  <si>
    <t>Professional Identity Development I</t>
  </si>
  <si>
    <t>PR1151</t>
  </si>
  <si>
    <t>Applied Patient Care Skills I</t>
  </si>
  <si>
    <t>PR1152</t>
  </si>
  <si>
    <t>Pharmacy Foundations: Science &amp; Therapeutics I</t>
  </si>
  <si>
    <t>PR2150</t>
  </si>
  <si>
    <t>Professional Identity Development II</t>
  </si>
  <si>
    <t>PR2151</t>
  </si>
  <si>
    <t>Applied Patient Care Skills II</t>
  </si>
  <si>
    <t>PR2152</t>
  </si>
  <si>
    <t>Gastrointestinal System: Science &amp; Therapeutics</t>
  </si>
  <si>
    <t>PR2153</t>
  </si>
  <si>
    <t>Cardiovascular System: Science &amp; Therapeutics</t>
  </si>
  <si>
    <t>PR2288</t>
  </si>
  <si>
    <t>Basic UROPS in Pharmacy I</t>
  </si>
  <si>
    <t>PR2289</t>
  </si>
  <si>
    <t>Basic UROPS in Pharmacy II</t>
  </si>
  <si>
    <t>PR3136</t>
  </si>
  <si>
    <t>Pharmacotherapeutics IV</t>
  </si>
  <si>
    <t>PR3137</t>
  </si>
  <si>
    <t>Pharmacy Professional Skills Development III</t>
  </si>
  <si>
    <t>PR3150</t>
  </si>
  <si>
    <t>Professional Identity and Skills Development</t>
  </si>
  <si>
    <t>PR3151</t>
  </si>
  <si>
    <t>Infection: Optimising Prevention &amp; Treatment</t>
  </si>
  <si>
    <t>PR3152</t>
  </si>
  <si>
    <t>Immune &amp; Endocrine Systems: Science &amp; Therapeutics</t>
  </si>
  <si>
    <t>PR3202</t>
  </si>
  <si>
    <t>Community Health &amp; Preventative Care</t>
  </si>
  <si>
    <t>PR3288</t>
  </si>
  <si>
    <t>Advanced UROPS in Pharmacy I</t>
  </si>
  <si>
    <t>PR3289</t>
  </si>
  <si>
    <t>Advanced UROPS in Pharmacy II</t>
  </si>
  <si>
    <t>PR3313</t>
  </si>
  <si>
    <t>Undergraduate Professional Internship Programme Extended</t>
  </si>
  <si>
    <t>PR4138</t>
  </si>
  <si>
    <t>Pharmacy Professional Skills Development IV</t>
  </si>
  <si>
    <t>PR4191</t>
  </si>
  <si>
    <t>SCI-PhI Project</t>
  </si>
  <si>
    <t>PR4195</t>
  </si>
  <si>
    <t>Scientific Evaluation, Analysis and Communication</t>
  </si>
  <si>
    <t>PR4196</t>
  </si>
  <si>
    <t>Pharmacy Research Project and Scientific Communication</t>
  </si>
  <si>
    <t>PR4197</t>
  </si>
  <si>
    <t>Pharmacy Internship I</t>
  </si>
  <si>
    <t>PR4197A</t>
  </si>
  <si>
    <t>PR4198</t>
  </si>
  <si>
    <t>Pharmacy Internship II</t>
  </si>
  <si>
    <t>PR4198A</t>
  </si>
  <si>
    <t>PR4204</t>
  </si>
  <si>
    <t>Special Drug Delivery</t>
  </si>
  <si>
    <t>PR5131</t>
  </si>
  <si>
    <t>Advanced Pharmacotherapy II</t>
  </si>
  <si>
    <t>PR5132</t>
  </si>
  <si>
    <t>Advanced Pharmacotherapy III</t>
  </si>
  <si>
    <t>PR5133</t>
  </si>
  <si>
    <t>Advanced Pharmacotherapy in Special Populations</t>
  </si>
  <si>
    <t>PR5134</t>
  </si>
  <si>
    <t>Advanced Skills in Pharmacy Practice</t>
  </si>
  <si>
    <t>PR5135</t>
  </si>
  <si>
    <t>FOUNDATIONS IN ADVANCED PHARMACY PRACTICE</t>
  </si>
  <si>
    <t>PR5136</t>
  </si>
  <si>
    <t>Seminar and Teaching</t>
  </si>
  <si>
    <t>PR5150</t>
  </si>
  <si>
    <t>Ambulatory Care Clerkship</t>
  </si>
  <si>
    <t>PR5151</t>
  </si>
  <si>
    <t>Acute Care Medicine Clerkship</t>
  </si>
  <si>
    <t>PR5152</t>
  </si>
  <si>
    <t>Adult General Medicine Clerkship</t>
  </si>
  <si>
    <t>PR5153</t>
  </si>
  <si>
    <t>Critical Care Clerkship</t>
  </si>
  <si>
    <t>PR5154</t>
  </si>
  <si>
    <t>Drug Information Clerkship</t>
  </si>
  <si>
    <t>PR5211</t>
  </si>
  <si>
    <t>Pharmaceutical and Biomedical Analysis</t>
  </si>
  <si>
    <t>PR5214</t>
  </si>
  <si>
    <t>ADVANCES IN TABLET TECHNOLOGY</t>
  </si>
  <si>
    <t>PR5217</t>
  </si>
  <si>
    <t>Formulation Science</t>
  </si>
  <si>
    <t>PR5220</t>
  </si>
  <si>
    <t>Bioprocess Technology</t>
  </si>
  <si>
    <t>PR5224</t>
  </si>
  <si>
    <t>Pharmacoepidemiology</t>
  </si>
  <si>
    <t>PR5239</t>
  </si>
  <si>
    <t>Clinical Pharmacy Research Project</t>
  </si>
  <si>
    <t>PR5250</t>
  </si>
  <si>
    <t>Elective Clerkship I</t>
  </si>
  <si>
    <t>PR5251</t>
  </si>
  <si>
    <t>Elective Clerkship II</t>
  </si>
  <si>
    <t>PR5252</t>
  </si>
  <si>
    <t>Elective Clerkship III</t>
  </si>
  <si>
    <t>PR5253</t>
  </si>
  <si>
    <t>Elective Clerkship IV</t>
  </si>
  <si>
    <t>PR5299</t>
  </si>
  <si>
    <t>Research Project in Pharmaceutical Innovation</t>
  </si>
  <si>
    <t>PS1101E</t>
  </si>
  <si>
    <t>Introduction to Politics</t>
  </si>
  <si>
    <t>PS2234</t>
  </si>
  <si>
    <t>Introduction to Comparative Politics</t>
  </si>
  <si>
    <t>PS2237</t>
  </si>
  <si>
    <t>Introduction to International Relations</t>
  </si>
  <si>
    <t>PS2240</t>
  </si>
  <si>
    <t>Introduction to Public Administration</t>
  </si>
  <si>
    <t>PS2249</t>
  </si>
  <si>
    <t>Government and Politics of Singapore</t>
  </si>
  <si>
    <t>PS2255</t>
  </si>
  <si>
    <t>Politics of the Middle East</t>
  </si>
  <si>
    <t>PS2257</t>
  </si>
  <si>
    <t>Contemporary African Politics</t>
  </si>
  <si>
    <t>PS2258</t>
  </si>
  <si>
    <t>Introduction to Political Theory</t>
  </si>
  <si>
    <t>PS3237</t>
  </si>
  <si>
    <t>Women and Politics</t>
  </si>
  <si>
    <t>PS3257</t>
  </si>
  <si>
    <t>Political Inquiry</t>
  </si>
  <si>
    <t>PS3260</t>
  </si>
  <si>
    <t>Politics and the Visual</t>
  </si>
  <si>
    <t>PS3262</t>
  </si>
  <si>
    <t>Managing Non-Profit Organisations</t>
  </si>
  <si>
    <t>PS3265</t>
  </si>
  <si>
    <t>Civil-Military Relations</t>
  </si>
  <si>
    <t>PS3276</t>
  </si>
  <si>
    <t>Comparative Political Behaviour</t>
  </si>
  <si>
    <t>PS3311</t>
  </si>
  <si>
    <t>International Ethics</t>
  </si>
  <si>
    <t>PS3550</t>
  </si>
  <si>
    <t>Political Science Internship</t>
  </si>
  <si>
    <t>PS3551</t>
  </si>
  <si>
    <t>FASS Undergraduate Research Opportunity (UROP )</t>
  </si>
  <si>
    <t>PS4201</t>
  </si>
  <si>
    <t>Contemporary Political Theory</t>
  </si>
  <si>
    <t>PS4203</t>
  </si>
  <si>
    <t>China's Foreign Policy</t>
  </si>
  <si>
    <t>PS4209</t>
  </si>
  <si>
    <t xml:space="preserve">Public Organisation Theory and  Practice</t>
  </si>
  <si>
    <t>PS4220</t>
  </si>
  <si>
    <t>Rhetoric and Politics</t>
  </si>
  <si>
    <t>PS4237</t>
  </si>
  <si>
    <t>Capitalism and Political Theory</t>
  </si>
  <si>
    <t>PS4311</t>
  </si>
  <si>
    <t>International Relations in Political Thought</t>
  </si>
  <si>
    <t>PS4401</t>
  </si>
  <si>
    <t>PS4660</t>
  </si>
  <si>
    <t>PS4881G</t>
  </si>
  <si>
    <t>Topics in CP: Politics of the Korean Peninsula</t>
  </si>
  <si>
    <t>PS4882A</t>
  </si>
  <si>
    <t>Topics in IR: Globalisation, Security and the State</t>
  </si>
  <si>
    <t>PS5312</t>
  </si>
  <si>
    <t>SEMINAR IN COMPARATIVE POLITICS</t>
  </si>
  <si>
    <t>PS5312R</t>
  </si>
  <si>
    <t>Seminar in Comparative Politics</t>
  </si>
  <si>
    <t>PS5314</t>
  </si>
  <si>
    <t>SEMINAR IN INTERNATIONAL RELATIONS</t>
  </si>
  <si>
    <t>PS5314R</t>
  </si>
  <si>
    <t>Seminar in Int'l Relations</t>
  </si>
  <si>
    <t>PS5503</t>
  </si>
  <si>
    <t>Decentralization and Local Governance</t>
  </si>
  <si>
    <t>PS5503R</t>
  </si>
  <si>
    <t>PS6660</t>
  </si>
  <si>
    <t>PS6770</t>
  </si>
  <si>
    <t>QF1100</t>
  </si>
  <si>
    <t>Introduction to Quantitative Finance</t>
  </si>
  <si>
    <t>QF2312</t>
  </si>
  <si>
    <t>QF3310</t>
  </si>
  <si>
    <t>QF3311</t>
  </si>
  <si>
    <t>QF3312</t>
  </si>
  <si>
    <t>QF4102</t>
  </si>
  <si>
    <t>Financial Modelling and Computation</t>
  </si>
  <si>
    <t>QF4103</t>
  </si>
  <si>
    <t>Mathematical Models of Financial Derivatives</t>
  </si>
  <si>
    <t>QF4199</t>
  </si>
  <si>
    <t>Honours Project in Quantitative Finance</t>
  </si>
  <si>
    <t>QF5205</t>
  </si>
  <si>
    <t>Topics in Quantitative Finance I</t>
  </si>
  <si>
    <t>QF5206</t>
  </si>
  <si>
    <t>Topics in Quantitative Finance II</t>
  </si>
  <si>
    <t>QF5209</t>
  </si>
  <si>
    <t>Financial Derivatives: Modelling and Computation</t>
  </si>
  <si>
    <t>QF5209A</t>
  </si>
  <si>
    <t>QF5210</t>
  </si>
  <si>
    <t>Financial Time Series: Theory and Computation</t>
  </si>
  <si>
    <t>QF5314</t>
  </si>
  <si>
    <t>Basic Mathematics in Finance</t>
  </si>
  <si>
    <t>QF5401</t>
  </si>
  <si>
    <t>Graduate Internship in Quantitative Finance I</t>
  </si>
  <si>
    <t>QF5402</t>
  </si>
  <si>
    <t>Graduate Internship in Quantitative Finance II</t>
  </si>
  <si>
    <t>QT5201S</t>
  </si>
  <si>
    <t>Quantum Electronics</t>
  </si>
  <si>
    <t>Ctr for Quantum Technologies</t>
  </si>
  <si>
    <t>QT5201V</t>
  </si>
  <si>
    <t>Complementarity and wave-particle duality</t>
  </si>
  <si>
    <t>RE1701</t>
  </si>
  <si>
    <t>Urban Land Use and Development</t>
  </si>
  <si>
    <t>RE1702</t>
  </si>
  <si>
    <t>Real Estate Data Analytics</t>
  </si>
  <si>
    <t>RE1703</t>
  </si>
  <si>
    <t>Principles of Law for Real Estate</t>
  </si>
  <si>
    <t>RE1705</t>
  </si>
  <si>
    <t>Real Estate Finance and Accounting</t>
  </si>
  <si>
    <t>RE2701</t>
  </si>
  <si>
    <t>Urban Planning</t>
  </si>
  <si>
    <t>RE2702</t>
  </si>
  <si>
    <t>Land Law</t>
  </si>
  <si>
    <t>RE2705</t>
  </si>
  <si>
    <t>RE2707</t>
  </si>
  <si>
    <t>Asset and Property Management</t>
  </si>
  <si>
    <t>RE2708</t>
  </si>
  <si>
    <t>Computational Thinking and Programming for Real Estate</t>
  </si>
  <si>
    <t>RE3701</t>
  </si>
  <si>
    <t>Real Estate Investment Analysis</t>
  </si>
  <si>
    <t>RE3702</t>
  </si>
  <si>
    <t>Property Tax and Statutory Valuation</t>
  </si>
  <si>
    <t>RE3703</t>
  </si>
  <si>
    <t>Advanced Real Estate Economics</t>
  </si>
  <si>
    <t>RE3704</t>
  </si>
  <si>
    <t>Real Estate Marketing</t>
  </si>
  <si>
    <t>RE3803</t>
  </si>
  <si>
    <t>Strategic Asset Management</t>
  </si>
  <si>
    <t>RE3807</t>
  </si>
  <si>
    <t>Corporate Finance for Real Estate</t>
  </si>
  <si>
    <t>RE3901</t>
  </si>
  <si>
    <t>Advanced Urban Planning</t>
  </si>
  <si>
    <t>RE4701</t>
  </si>
  <si>
    <t>Real Estate Development</t>
  </si>
  <si>
    <t>RE4702</t>
  </si>
  <si>
    <t>Professional Practice and Ethics</t>
  </si>
  <si>
    <t>RE4711</t>
  </si>
  <si>
    <t>FYP Dissertation</t>
  </si>
  <si>
    <t>RE4712</t>
  </si>
  <si>
    <t>FYP Academic Exercise</t>
  </si>
  <si>
    <t>RE4803</t>
  </si>
  <si>
    <t>REIT and Business Trust Management</t>
  </si>
  <si>
    <t>RE4804</t>
  </si>
  <si>
    <t>Real Estate Securitisation</t>
  </si>
  <si>
    <t>RE5000</t>
  </si>
  <si>
    <t>RE5001</t>
  </si>
  <si>
    <t>RE5004</t>
  </si>
  <si>
    <t>Real Estate Economics</t>
  </si>
  <si>
    <t>RE5009</t>
  </si>
  <si>
    <t>Real Estate Appraisal</t>
  </si>
  <si>
    <t>RE5013</t>
  </si>
  <si>
    <t>Urban Policy &amp; Real Estate Market</t>
  </si>
  <si>
    <t>RE5014</t>
  </si>
  <si>
    <t>Real Estate Investment Trusts &amp; Property Funds</t>
  </si>
  <si>
    <t>RE5015</t>
  </si>
  <si>
    <t>Geographic Information Systems (GIS) and Cartography</t>
  </si>
  <si>
    <t>RE6004</t>
  </si>
  <si>
    <t>RESEARCH METHODOLOGY IN REAL ESTATE</t>
  </si>
  <si>
    <t>RVC1000</t>
  </si>
  <si>
    <t>How in the world do we get along?</t>
  </si>
  <si>
    <t>RVN1000</t>
  </si>
  <si>
    <t>Engaging Communities in Sustainability</t>
  </si>
  <si>
    <t>RVN1001</t>
  </si>
  <si>
    <t>The Great Extinction: rewilding and conservation</t>
  </si>
  <si>
    <t>RVSS1001</t>
  </si>
  <si>
    <t>Imagining Wakanda: Cities for work, life, and play</t>
  </si>
  <si>
    <t>RVSS1002</t>
  </si>
  <si>
    <t>Feeding the belly of a nation</t>
  </si>
  <si>
    <t>RVX1000</t>
  </si>
  <si>
    <t>Citizen Speak: Persuasion and Polarization in Society</t>
  </si>
  <si>
    <t>RVX1001</t>
  </si>
  <si>
    <t>Science Fiction and Society</t>
  </si>
  <si>
    <t>RVX1002</t>
  </si>
  <si>
    <t>What do you mean? Meaning &amp; Communication in Intercultural contexts</t>
  </si>
  <si>
    <t>SA4101</t>
  </si>
  <si>
    <t>Software Analysis and Design</t>
  </si>
  <si>
    <t>SA4101C</t>
  </si>
  <si>
    <t>SA4102</t>
  </si>
  <si>
    <t>Enterprise Solutions Design and Development</t>
  </si>
  <si>
    <t>SA4102C</t>
  </si>
  <si>
    <t>SA4104</t>
  </si>
  <si>
    <t>Digital Product Management</t>
  </si>
  <si>
    <t>SA4105</t>
  </si>
  <si>
    <t>Web Application Development</t>
  </si>
  <si>
    <t>SA4106</t>
  </si>
  <si>
    <t>AD Project</t>
  </si>
  <si>
    <t>SA4107</t>
  </si>
  <si>
    <t>INDUSTRIAL ATTACHMENT PROJECT</t>
  </si>
  <si>
    <t>SA4108</t>
  </si>
  <si>
    <t>Mobile Application Development</t>
  </si>
  <si>
    <t>SA4110</t>
  </si>
  <si>
    <t>Machine Learning Application Development</t>
  </si>
  <si>
    <t>SC1101E</t>
  </si>
  <si>
    <t>Making Sense of Society</t>
  </si>
  <si>
    <t>SC2204</t>
  </si>
  <si>
    <t>Social Inequalities : Who Gets Ahead?</t>
  </si>
  <si>
    <t>SC2205</t>
  </si>
  <si>
    <t>Sociology of Family</t>
  </si>
  <si>
    <t>SC2208</t>
  </si>
  <si>
    <t>Baby or No Baby: Population Dynamics at a Crossroads</t>
  </si>
  <si>
    <t>SC2209</t>
  </si>
  <si>
    <t>Money, Business and Social Networks</t>
  </si>
  <si>
    <t>SC2217</t>
  </si>
  <si>
    <t>Travel Matters</t>
  </si>
  <si>
    <t>SC2220</t>
  </si>
  <si>
    <t>Gender Studies</t>
  </si>
  <si>
    <t>SC2222</t>
  </si>
  <si>
    <t>Sports and Society</t>
  </si>
  <si>
    <t>SC2225</t>
  </si>
  <si>
    <t>The Social Life of Art</t>
  </si>
  <si>
    <t>SC2227</t>
  </si>
  <si>
    <t>Sociology of Religion</t>
  </si>
  <si>
    <t>SC3101</t>
  </si>
  <si>
    <t>SC3203</t>
  </si>
  <si>
    <t>Race and Ethnic Relations</t>
  </si>
  <si>
    <t>SC3204</t>
  </si>
  <si>
    <t>Sociology of Education</t>
  </si>
  <si>
    <t>SC3206</t>
  </si>
  <si>
    <t>Urban Sociology</t>
  </si>
  <si>
    <t>SC3207</t>
  </si>
  <si>
    <t>Cultures of Kinship</t>
  </si>
  <si>
    <t>SC3209</t>
  </si>
  <si>
    <t>Data Analysis in Social Research</t>
  </si>
  <si>
    <t>SC3211</t>
  </si>
  <si>
    <t>Science, Technology &amp; Society</t>
  </si>
  <si>
    <t>SC3212</t>
  </si>
  <si>
    <t>Southeast Asia in a Globalizing World</t>
  </si>
  <si>
    <t>SC3213</t>
  </si>
  <si>
    <t>Visual Ethnography: Theory and Practice</t>
  </si>
  <si>
    <t>SC3216</t>
  </si>
  <si>
    <t>Self and Society</t>
  </si>
  <si>
    <t>SC3223</t>
  </si>
  <si>
    <t>Visual Culture: Seeing and Representing</t>
  </si>
  <si>
    <t>SC3227</t>
  </si>
  <si>
    <t>Modernity and Social Change</t>
  </si>
  <si>
    <t>SC3228</t>
  </si>
  <si>
    <t>Senses and Society</t>
  </si>
  <si>
    <t>SC3229</t>
  </si>
  <si>
    <t>Comparing Deviance: Perverts &amp; Scandalous Improprieties</t>
  </si>
  <si>
    <t>SC3551</t>
  </si>
  <si>
    <t>SC4101</t>
  </si>
  <si>
    <t>Practising Anthropology and Sociology</t>
  </si>
  <si>
    <t>SC4202</t>
  </si>
  <si>
    <t>Reading Ethnographies</t>
  </si>
  <si>
    <t>SC4203</t>
  </si>
  <si>
    <t>Sociology of Organizations</t>
  </si>
  <si>
    <t>SC4205</t>
  </si>
  <si>
    <t>Sociology of Language &amp; Communication</t>
  </si>
  <si>
    <t>SC4211</t>
  </si>
  <si>
    <t>Tourism and Culture: A Global Perspective</t>
  </si>
  <si>
    <t>SC4217</t>
  </si>
  <si>
    <t>Social Movements and Collective Action</t>
  </si>
  <si>
    <t>SC4218</t>
  </si>
  <si>
    <t>Religions, Secularity, Post-Secularity</t>
  </si>
  <si>
    <t>SC4219</t>
  </si>
  <si>
    <t>Social Origins and Consequences of Financial Crises</t>
  </si>
  <si>
    <t>SC4220</t>
  </si>
  <si>
    <t>Aging and Health</t>
  </si>
  <si>
    <t>SC4224</t>
  </si>
  <si>
    <t>Welfare and Social Justice</t>
  </si>
  <si>
    <t>SC4228</t>
  </si>
  <si>
    <t>Making Sense of Violence</t>
  </si>
  <si>
    <t>SC4401</t>
  </si>
  <si>
    <t>SC4660</t>
  </si>
  <si>
    <t>SC4880C</t>
  </si>
  <si>
    <t>Cultural heritage: The Politics of Protecting the Past</t>
  </si>
  <si>
    <t>SC4881</t>
  </si>
  <si>
    <t>Selected Topics in Health &amp; Society</t>
  </si>
  <si>
    <t>SC5101</t>
  </si>
  <si>
    <t>Graduate Research Methods</t>
  </si>
  <si>
    <t>SC5103</t>
  </si>
  <si>
    <t>Qualitative Data Analysis</t>
  </si>
  <si>
    <t>SC5103R</t>
  </si>
  <si>
    <t>SC5218</t>
  </si>
  <si>
    <t>Population Studies</t>
  </si>
  <si>
    <t>SC5218R</t>
  </si>
  <si>
    <t>POPULATION STUDIES</t>
  </si>
  <si>
    <t>SC5770</t>
  </si>
  <si>
    <t>Graduate Research Seminar for Masters students</t>
  </si>
  <si>
    <t>SC6212</t>
  </si>
  <si>
    <t>Global Transformations</t>
  </si>
  <si>
    <t>SC6216</t>
  </si>
  <si>
    <t>THE ANTHROPOLOGICAL PERSPECTIVE</t>
  </si>
  <si>
    <t>SC6660</t>
  </si>
  <si>
    <t>SC6770</t>
  </si>
  <si>
    <t>SE1101E</t>
  </si>
  <si>
    <t>The Lands Below the Winds: Southeast Asia in the World</t>
  </si>
  <si>
    <t>SE2224</t>
  </si>
  <si>
    <t>Unmasked! An Introduction to Traditional Dance in SEA</t>
  </si>
  <si>
    <t>SE3211</t>
  </si>
  <si>
    <t>Religion, Society &amp; Politics in SE Asia</t>
  </si>
  <si>
    <t>SE3232</t>
  </si>
  <si>
    <t>Death and Dying in Southeast Asia</t>
  </si>
  <si>
    <t>SE3550</t>
  </si>
  <si>
    <t>Southeast Asian Studies Internship</t>
  </si>
  <si>
    <t>SE4101</t>
  </si>
  <si>
    <t>Southeast Asia Studies: Theory and Practice</t>
  </si>
  <si>
    <t>SE4212</t>
  </si>
  <si>
    <t>Elites of Southeast Asia</t>
  </si>
  <si>
    <t>SE4218</t>
  </si>
  <si>
    <t>Majorities and Minorities in SE Asia</t>
  </si>
  <si>
    <t>SE4227</t>
  </si>
  <si>
    <t>Nationalism in Southeast Asia</t>
  </si>
  <si>
    <t>SE4401</t>
  </si>
  <si>
    <t>SE4660</t>
  </si>
  <si>
    <t>SE5201</t>
  </si>
  <si>
    <t>Supervised Research Project</t>
  </si>
  <si>
    <t>SE5263</t>
  </si>
  <si>
    <t>CULTURAL RESOURCE MANAGEMENT IN SE ASIA</t>
  </si>
  <si>
    <t>SE5660</t>
  </si>
  <si>
    <t>SE6660</t>
  </si>
  <si>
    <t>SEA5101</t>
  </si>
  <si>
    <t>History, Politics and Economics of Modern Southeast Asia</t>
  </si>
  <si>
    <t>SEA5102</t>
  </si>
  <si>
    <t>Societies and Cultures of Southeast Asia</t>
  </si>
  <si>
    <t>SEA5201</t>
  </si>
  <si>
    <t>Politics of Environment in Southeast Asia</t>
  </si>
  <si>
    <t>SEA5212</t>
  </si>
  <si>
    <t>Arts in Southeast Asia</t>
  </si>
  <si>
    <t>SEA5232</t>
  </si>
  <si>
    <t>Country Studies: Thailand</t>
  </si>
  <si>
    <t>SEA5234</t>
  </si>
  <si>
    <t>Country Studies: The Philippines</t>
  </si>
  <si>
    <t>SEA5301B</t>
  </si>
  <si>
    <t>Masterclass</t>
  </si>
  <si>
    <t>SEA5660</t>
  </si>
  <si>
    <t>SH5002</t>
  </si>
  <si>
    <t>Fundamentals in Industrial Safety</t>
  </si>
  <si>
    <t>SH5003C</t>
  </si>
  <si>
    <t>Fundamentals in Environmental Protection</t>
  </si>
  <si>
    <t>SH5101C</t>
  </si>
  <si>
    <t>Industrial Toxicology</t>
  </si>
  <si>
    <t>SH5103</t>
  </si>
  <si>
    <t>Biosafety and Biosecurity</t>
  </si>
  <si>
    <t>SH5104</t>
  </si>
  <si>
    <t>OCCUPATIONAL HEALTH</t>
  </si>
  <si>
    <t>SH5106</t>
  </si>
  <si>
    <t>Radiation Safety</t>
  </si>
  <si>
    <t>SH5107</t>
  </si>
  <si>
    <t>Industrial Ventilation</t>
  </si>
  <si>
    <t>SH5110</t>
  </si>
  <si>
    <t>Chemical Hazard Evaluation</t>
  </si>
  <si>
    <t>SH5201C</t>
  </si>
  <si>
    <t>Process Hazard Analysis</t>
  </si>
  <si>
    <t>SH5203</t>
  </si>
  <si>
    <t>Resilience and Emergency Planning</t>
  </si>
  <si>
    <t>SH5203C</t>
  </si>
  <si>
    <t>SH5204</t>
  </si>
  <si>
    <t>Industrial Safety Engineering</t>
  </si>
  <si>
    <t>SH5205C</t>
  </si>
  <si>
    <t>Crisis and Incident Management</t>
  </si>
  <si>
    <t>SH5206</t>
  </si>
  <si>
    <t>Human Factors in Process Safety</t>
  </si>
  <si>
    <t>SH5207</t>
  </si>
  <si>
    <t>Process Safety Engineering</t>
  </si>
  <si>
    <t>SH5401C</t>
  </si>
  <si>
    <t>Safety, Health, Environment &amp; Quality Management System</t>
  </si>
  <si>
    <t>SH5402</t>
  </si>
  <si>
    <t>Advanced Safety, Health &amp; Environment Management</t>
  </si>
  <si>
    <t>SH5403</t>
  </si>
  <si>
    <t>SH5404</t>
  </si>
  <si>
    <t>Safety Health and Environmental Project</t>
  </si>
  <si>
    <t>SH5406</t>
  </si>
  <si>
    <t>SH5666</t>
  </si>
  <si>
    <t>Industrial Safety, Health and Environment Practices</t>
  </si>
  <si>
    <t>SLP5113</t>
  </si>
  <si>
    <t>PROFESSIONAL PRACTICE 3</t>
  </si>
  <si>
    <t>SLP5114</t>
  </si>
  <si>
    <t>INTERVENTION AND MANAGEMENT - CHILDREN 2</t>
  </si>
  <si>
    <t>SLP5115</t>
  </si>
  <si>
    <t>INTERVENTION AND MANAGEMENT - ADULTS 2</t>
  </si>
  <si>
    <t>SLP5116</t>
  </si>
  <si>
    <t>RESEARCH PROJECT 2</t>
  </si>
  <si>
    <t>SLP5117</t>
  </si>
  <si>
    <t>PROFESSIONAL PRACTICE ISSUES</t>
  </si>
  <si>
    <t>SLP5118</t>
  </si>
  <si>
    <t>PROFESSIONAL PRACTICE 4</t>
  </si>
  <si>
    <t>SN1101E</t>
  </si>
  <si>
    <t>Discover South Asia: People, Culture, Development</t>
  </si>
  <si>
    <t>SN2213</t>
  </si>
  <si>
    <t>South Asian Democracies - Violence, Conflict, and Hope</t>
  </si>
  <si>
    <t>SN2261</t>
  </si>
  <si>
    <t>The Emergence of Contemporary South Asia</t>
  </si>
  <si>
    <t>SN2271</t>
  </si>
  <si>
    <t>Religion and Society in South Asia</t>
  </si>
  <si>
    <t>SN3223</t>
  </si>
  <si>
    <t>International Relations of South Asia</t>
  </si>
  <si>
    <t>SN3281</t>
  </si>
  <si>
    <t>The Story of Indian Business</t>
  </si>
  <si>
    <t>SN3550</t>
  </si>
  <si>
    <t>SN4101</t>
  </si>
  <si>
    <t>Approaches to the Study of South Asia</t>
  </si>
  <si>
    <t>SN4401</t>
  </si>
  <si>
    <t>SN4660</t>
  </si>
  <si>
    <t>SN5660</t>
  </si>
  <si>
    <t>SN6660</t>
  </si>
  <si>
    <t>SP1541</t>
  </si>
  <si>
    <t>Exploring Science Communication through Popular Science</t>
  </si>
  <si>
    <t>SP2271</t>
  </si>
  <si>
    <t>Introduction to the Scientific Literature</t>
  </si>
  <si>
    <t>SP2274</t>
  </si>
  <si>
    <t>Engineering a Life-like Cell</t>
  </si>
  <si>
    <t>SP3176</t>
  </si>
  <si>
    <t>The Universe</t>
  </si>
  <si>
    <t>SP3203</t>
  </si>
  <si>
    <t>Aquatic Ecology Research</t>
  </si>
  <si>
    <t>SP3275</t>
  </si>
  <si>
    <t>Science for a Sustainable Earth</t>
  </si>
  <si>
    <t>SPH1901</t>
  </si>
  <si>
    <t>Social and Behavioural Determinants of Health</t>
  </si>
  <si>
    <t>SPH2001</t>
  </si>
  <si>
    <t>Fundamental Public Health Methods</t>
  </si>
  <si>
    <t>SPH2002</t>
  </si>
  <si>
    <t>Public Health and Epidemiology</t>
  </si>
  <si>
    <t>SPH2003</t>
  </si>
  <si>
    <t>Systems and Policies to improve Health</t>
  </si>
  <si>
    <t>SPH2004</t>
  </si>
  <si>
    <t>Lifestyle, Behaviour and Public Health</t>
  </si>
  <si>
    <t>SPH2005</t>
  </si>
  <si>
    <t>Health, Society and the Social Determinants</t>
  </si>
  <si>
    <t>SPH2203</t>
  </si>
  <si>
    <t>Food Environments and Health</t>
  </si>
  <si>
    <t>SPH2301</t>
  </si>
  <si>
    <t>Health of the Working Population</t>
  </si>
  <si>
    <t>SPH2401</t>
  </si>
  <si>
    <t>SPH3101</t>
  </si>
  <si>
    <t>Biostatistics for Public Health</t>
  </si>
  <si>
    <t>SPH3106</t>
  </si>
  <si>
    <t>Data Analysis for Pathogen Genomics</t>
  </si>
  <si>
    <t>SPH3203</t>
  </si>
  <si>
    <t>Prevention and Control of Non-Communicable Diseases</t>
  </si>
  <si>
    <t>SPH3204</t>
  </si>
  <si>
    <t>One Health: People, Animals and the Environment</t>
  </si>
  <si>
    <t>SPH3401</t>
  </si>
  <si>
    <t>Designing Public Health Programmes</t>
  </si>
  <si>
    <t>SPH3403</t>
  </si>
  <si>
    <t>Public Health Economics</t>
  </si>
  <si>
    <t>SPH5001</t>
  </si>
  <si>
    <t>Foundations of Public Health</t>
  </si>
  <si>
    <t>SPH5002</t>
  </si>
  <si>
    <t>Public Health Research Methods</t>
  </si>
  <si>
    <t>SPH5003</t>
  </si>
  <si>
    <t>Health Behaviour and Communication</t>
  </si>
  <si>
    <t>SPH5005</t>
  </si>
  <si>
    <t>Practicum</t>
  </si>
  <si>
    <t>SPH5006</t>
  </si>
  <si>
    <t>STATA Primer for Public Health</t>
  </si>
  <si>
    <t>SPH5007</t>
  </si>
  <si>
    <t>Implementing Public Health Programmes and Policies</t>
  </si>
  <si>
    <t>SPH5008</t>
  </si>
  <si>
    <t>Ethics in Public Health Practice</t>
  </si>
  <si>
    <t>SPH5406</t>
  </si>
  <si>
    <t>Contemporary Global Health Issues</t>
  </si>
  <si>
    <t>SPH5408</t>
  </si>
  <si>
    <t>Public Health and Ageing</t>
  </si>
  <si>
    <t>SPH5409</t>
  </si>
  <si>
    <t>Qualitative Methods in Public Health</t>
  </si>
  <si>
    <t>SPH5415</t>
  </si>
  <si>
    <t>Healthcare Operations &amp; Performance</t>
  </si>
  <si>
    <t>SPH5416</t>
  </si>
  <si>
    <t>Introduction to Integrated Care</t>
  </si>
  <si>
    <t>SPH5420</t>
  </si>
  <si>
    <t>Evidence Synthesis for HTA</t>
  </si>
  <si>
    <t>SPH5801</t>
  </si>
  <si>
    <t>Field Practice</t>
  </si>
  <si>
    <t>SPH5890A</t>
  </si>
  <si>
    <t>Independent Study in Epidemiology and Disease Control</t>
  </si>
  <si>
    <t>SPH5890B</t>
  </si>
  <si>
    <t>Independent Study in Quantitative Methods</t>
  </si>
  <si>
    <t>SPH5890C</t>
  </si>
  <si>
    <t>Independent Study in Environmental / Occupational Health</t>
  </si>
  <si>
    <t>SPH5890D</t>
  </si>
  <si>
    <t>Independent Study in Health Policy and Systems</t>
  </si>
  <si>
    <t>SPH5890E</t>
  </si>
  <si>
    <t>Independent Study in Health Services Research</t>
  </si>
  <si>
    <t>SPH5890F</t>
  </si>
  <si>
    <t>Independent Study in Health Promotion</t>
  </si>
  <si>
    <t>SPH5890G</t>
  </si>
  <si>
    <t>Independent Study in Global Health Programs: Planning and Evaluation</t>
  </si>
  <si>
    <t>SPH6201A</t>
  </si>
  <si>
    <t>Independent Study (Epidemiology and Disease Control)</t>
  </si>
  <si>
    <t>SPH6201B</t>
  </si>
  <si>
    <t>Independent Study (Biostatistics)</t>
  </si>
  <si>
    <t>SPH6201C</t>
  </si>
  <si>
    <t>Independent Study (Environmental / Occupational Health)</t>
  </si>
  <si>
    <t>SPH6201D</t>
  </si>
  <si>
    <t>Independent Study (Health Policy and Systems)</t>
  </si>
  <si>
    <t>SPH6201E</t>
  </si>
  <si>
    <t>Independent Study (Health Services Research)</t>
  </si>
  <si>
    <t>SPH6201F</t>
  </si>
  <si>
    <t>Independent Study (Health Promotion)</t>
  </si>
  <si>
    <t>SPH6201G</t>
  </si>
  <si>
    <t>Independent Study (Global Health)</t>
  </si>
  <si>
    <t>SPH6770</t>
  </si>
  <si>
    <t>Graduate Research Seminar in Public Health</t>
  </si>
  <si>
    <t>ST1131</t>
  </si>
  <si>
    <t>Introduction to Statistics and Statistical Computing</t>
  </si>
  <si>
    <t>ST2131</t>
  </si>
  <si>
    <t>ST2132</t>
  </si>
  <si>
    <t>Mathematical Statistics</t>
  </si>
  <si>
    <t>ST2137</t>
  </si>
  <si>
    <t>Statistical Computing and Programming</t>
  </si>
  <si>
    <t>ST2288</t>
  </si>
  <si>
    <t>Basic UROPS in Statistics and Applied Probability I</t>
  </si>
  <si>
    <t>ST2289</t>
  </si>
  <si>
    <t>Basic UROPS in Statistics and Applied Probability II</t>
  </si>
  <si>
    <t>ST2334</t>
  </si>
  <si>
    <t>Probability and Statistics</t>
  </si>
  <si>
    <t>ST3131</t>
  </si>
  <si>
    <t>Regression Analysis</t>
  </si>
  <si>
    <t>ST3239</t>
  </si>
  <si>
    <t>Survey Methodology</t>
  </si>
  <si>
    <t>ST3248</t>
  </si>
  <si>
    <t>Statistical Learning I</t>
  </si>
  <si>
    <t>ST3288</t>
  </si>
  <si>
    <t>Advanced UROPS in Statistics &amp; Applied Probability I</t>
  </si>
  <si>
    <t>ST3289</t>
  </si>
  <si>
    <t>Advanced UROPS in Statistics &amp; Applied Probability II</t>
  </si>
  <si>
    <t>ST3312</t>
  </si>
  <si>
    <t>ST4199</t>
  </si>
  <si>
    <t>Honours Project in Statistics</t>
  </si>
  <si>
    <t>ST4231</t>
  </si>
  <si>
    <t>Computer Intensive Statistical Methods</t>
  </si>
  <si>
    <t>ST4233</t>
  </si>
  <si>
    <t>Linear Models</t>
  </si>
  <si>
    <t>ST4245</t>
  </si>
  <si>
    <t>Statistical Methods for Finance</t>
  </si>
  <si>
    <t>ST4250</t>
  </si>
  <si>
    <t>Multivariate Statistical Analysis</t>
  </si>
  <si>
    <t>ST4253</t>
  </si>
  <si>
    <t>Applied Time Series Analysis</t>
  </si>
  <si>
    <t>ST4299</t>
  </si>
  <si>
    <t>Applied Project in Statistics</t>
  </si>
  <si>
    <t>ST5188</t>
  </si>
  <si>
    <t>Statistical Research Project</t>
  </si>
  <si>
    <t>ST5199</t>
  </si>
  <si>
    <t>COURSEWORK TRACK II PROJECT</t>
  </si>
  <si>
    <t>ST5201</t>
  </si>
  <si>
    <t>Statistical Foundations of Data Science</t>
  </si>
  <si>
    <t>ST5201X</t>
  </si>
  <si>
    <t>ST5210</t>
  </si>
  <si>
    <t>MULTIVARIATE DATA ANALYSIS</t>
  </si>
  <si>
    <t>ST5211</t>
  </si>
  <si>
    <t>Sampling from Finite Populations</t>
  </si>
  <si>
    <t>ST5211X</t>
  </si>
  <si>
    <t>ST5213</t>
  </si>
  <si>
    <t>CATEGORICAL DATA ANALYSIS II</t>
  </si>
  <si>
    <t>ST5214</t>
  </si>
  <si>
    <t>Advanced Probability Theory</t>
  </si>
  <si>
    <t>ST5215</t>
  </si>
  <si>
    <t>ADVANCED STATISTICAL THEORY</t>
  </si>
  <si>
    <t>ST5222</t>
  </si>
  <si>
    <t>Advanced Topics in Applied Statistics</t>
  </si>
  <si>
    <t>ST5226</t>
  </si>
  <si>
    <t>Spatial Statistics</t>
  </si>
  <si>
    <t>STR1000</t>
  </si>
  <si>
    <t>Career Creation Starter Workshops</t>
  </si>
  <si>
    <t>STR2000</t>
  </si>
  <si>
    <t>Career Creation Starter Clinics</t>
  </si>
  <si>
    <t>SW1101E</t>
  </si>
  <si>
    <t>Social Work: A Heart-Head-Hand Connection</t>
  </si>
  <si>
    <t>Social Work</t>
  </si>
  <si>
    <t>SW2101</t>
  </si>
  <si>
    <t>Working with Individuals and Families</t>
  </si>
  <si>
    <t>SW2104</t>
  </si>
  <si>
    <t>Human Development over the Lifespan</t>
  </si>
  <si>
    <t>SW2105</t>
  </si>
  <si>
    <t>Values &amp; Skills for Helping Relationships</t>
  </si>
  <si>
    <t>SW2106</t>
  </si>
  <si>
    <t>Social Group Work Practice</t>
  </si>
  <si>
    <t>SW3101</t>
  </si>
  <si>
    <t>Social Work Research Methods</t>
  </si>
  <si>
    <t>SW3105</t>
  </si>
  <si>
    <t>Community Work Practice</t>
  </si>
  <si>
    <t>SW3221</t>
  </si>
  <si>
    <t>Protection of Vulnerable Clients</t>
  </si>
  <si>
    <t>SW3224</t>
  </si>
  <si>
    <t>Social Work &amp; Technology Of The Future</t>
  </si>
  <si>
    <t>SW3551</t>
  </si>
  <si>
    <t>SW3880</t>
  </si>
  <si>
    <t>Special Topics in Social Work</t>
  </si>
  <si>
    <t>SW4102</t>
  </si>
  <si>
    <t>Social Policy and Planning</t>
  </si>
  <si>
    <t>SW4103</t>
  </si>
  <si>
    <t>Advanced Research and Evaluation</t>
  </si>
  <si>
    <t>SW4202</t>
  </si>
  <si>
    <t>Special Areas of Social Work Practice</t>
  </si>
  <si>
    <t>SW4223</t>
  </si>
  <si>
    <t>Child-Centric Social Work</t>
  </si>
  <si>
    <t>SW4225</t>
  </si>
  <si>
    <t>Ethics in Social Work Practice</t>
  </si>
  <si>
    <t>SW4227</t>
  </si>
  <si>
    <t>Advanced Family-Centred Social Work Practice</t>
  </si>
  <si>
    <t>SW4229</t>
  </si>
  <si>
    <t>Working With Older Adults</t>
  </si>
  <si>
    <t>SW4401</t>
  </si>
  <si>
    <t>SW4660</t>
  </si>
  <si>
    <t>SW4880</t>
  </si>
  <si>
    <t>SW5106</t>
  </si>
  <si>
    <t>Social Policy and Welfare Services</t>
  </si>
  <si>
    <t>SW5107</t>
  </si>
  <si>
    <t>Program Development and Evaluation</t>
  </si>
  <si>
    <t>SW5111</t>
  </si>
  <si>
    <t>Advanced Practicum</t>
  </si>
  <si>
    <t>SW5111A</t>
  </si>
  <si>
    <t>SW5111B</t>
  </si>
  <si>
    <t>SW5112</t>
  </si>
  <si>
    <t>SUPERVISED PROJECT</t>
  </si>
  <si>
    <t>SW5117B</t>
  </si>
  <si>
    <t>Practice Research Capstone Seminar II</t>
  </si>
  <si>
    <t>SW5208</t>
  </si>
  <si>
    <t>Using Play Therapy with Children and Families</t>
  </si>
  <si>
    <t>SW5660</t>
  </si>
  <si>
    <t>SW6660</t>
  </si>
  <si>
    <t>SWD5103</t>
  </si>
  <si>
    <t>CONTEMPORARY SOCIAL WORK PRACTICE</t>
  </si>
  <si>
    <t>SWD5105</t>
  </si>
  <si>
    <t>SKILLS IN ADVANCED SOCIAL WORK PRACTICE</t>
  </si>
  <si>
    <t>SWD5120</t>
  </si>
  <si>
    <t>SOCIAL WORK PRACTICUM</t>
  </si>
  <si>
    <t>SWD5880E</t>
  </si>
  <si>
    <t>Social Work Practice in Mental Health</t>
  </si>
  <si>
    <t>SWE5001</t>
  </si>
  <si>
    <t>Architecting Scalable Systems</t>
  </si>
  <si>
    <t>SWE5001G</t>
  </si>
  <si>
    <t>SWE5002</t>
  </si>
  <si>
    <t>Designing and Managing Products and Platforms</t>
  </si>
  <si>
    <t>SWE5002G</t>
  </si>
  <si>
    <t>SWE5005</t>
  </si>
  <si>
    <t>Securing Ubiquitous Systems</t>
  </si>
  <si>
    <t>SWE5005G</t>
  </si>
  <si>
    <t>SWE5007</t>
  </si>
  <si>
    <t>Capstone Project in Software Engineering</t>
  </si>
  <si>
    <t>SWM5104</t>
  </si>
  <si>
    <t>Management of Human Service Organizations</t>
  </si>
  <si>
    <t>SWM5106</t>
  </si>
  <si>
    <t>SWM5107</t>
  </si>
  <si>
    <t>SWM5117B</t>
  </si>
  <si>
    <t>SWM5208</t>
  </si>
  <si>
    <t>SWM5209</t>
  </si>
  <si>
    <t>Theory and Practice of Social Work Supervision</t>
  </si>
  <si>
    <t>TBA2105</t>
  </si>
  <si>
    <t>Web Mining</t>
  </si>
  <si>
    <t>TBA3103</t>
  </si>
  <si>
    <t>TBA3222</t>
  </si>
  <si>
    <t>TBA4212</t>
  </si>
  <si>
    <t>Search Engine Optimisation and Analytics</t>
  </si>
  <si>
    <t>TBA4220</t>
  </si>
  <si>
    <t>TBA4230</t>
  </si>
  <si>
    <t>Audit Analytics</t>
  </si>
  <si>
    <t>TCE1109</t>
  </si>
  <si>
    <t>Statics And Mechanics of Materials</t>
  </si>
  <si>
    <t>TCE2112</t>
  </si>
  <si>
    <t>Soil Mechanics</t>
  </si>
  <si>
    <t>TCE2155</t>
  </si>
  <si>
    <t>Structural Mechanics and Materials</t>
  </si>
  <si>
    <t>TCE2184</t>
  </si>
  <si>
    <t>Infrastructure &amp; the Environment</t>
  </si>
  <si>
    <t>TCE3001</t>
  </si>
  <si>
    <t>Water Quality Engineering</t>
  </si>
  <si>
    <t>TCE3100</t>
  </si>
  <si>
    <t>Independent Study in Civil Engineering Infrastructure</t>
  </si>
  <si>
    <t>TCE3132</t>
  </si>
  <si>
    <t>Water Resources Engineering</t>
  </si>
  <si>
    <t>TCE3155</t>
  </si>
  <si>
    <t>Structural Analysis</t>
  </si>
  <si>
    <t>TCE4103</t>
  </si>
  <si>
    <t>TCE4104</t>
  </si>
  <si>
    <t>BTech Dissertation</t>
  </si>
  <si>
    <t>TCE4282</t>
  </si>
  <si>
    <t>Building Information Modeling for Project Management</t>
  </si>
  <si>
    <t>TCE5510</t>
  </si>
  <si>
    <t>TCN1005</t>
  </si>
  <si>
    <t>MATLAB Programming for Chemical Engineers</t>
  </si>
  <si>
    <t>TCN2121</t>
  </si>
  <si>
    <t>TCN2122</t>
  </si>
  <si>
    <t>TCN3121</t>
  </si>
  <si>
    <t>TCN3132</t>
  </si>
  <si>
    <t>TCN3421</t>
  </si>
  <si>
    <t>Process Modeling &amp; Numerical Simulation</t>
  </si>
  <si>
    <t>TCN4119</t>
  </si>
  <si>
    <t>TCN4122</t>
  </si>
  <si>
    <t>TCN4208</t>
  </si>
  <si>
    <t>TCN4246</t>
  </si>
  <si>
    <t>TE2002</t>
  </si>
  <si>
    <t>Engineering Mathematics II</t>
  </si>
  <si>
    <t>TE2003</t>
  </si>
  <si>
    <t>Advanced Mathematics for Engineers</t>
  </si>
  <si>
    <t>TE4001</t>
  </si>
  <si>
    <t>TEE2002</t>
  </si>
  <si>
    <t>TEE2003</t>
  </si>
  <si>
    <t>TEE2027</t>
  </si>
  <si>
    <t>TEE2028</t>
  </si>
  <si>
    <t>TEE3506</t>
  </si>
  <si>
    <t>TEE4001</t>
  </si>
  <si>
    <t>TEE4101</t>
  </si>
  <si>
    <t>Radio-Frequency (RF) Communications</t>
  </si>
  <si>
    <t>TEE4204</t>
  </si>
  <si>
    <t>TEE4211</t>
  </si>
  <si>
    <t>TEE4436</t>
  </si>
  <si>
    <t>TG1401</t>
  </si>
  <si>
    <t>Engineering Mathematics I</t>
  </si>
  <si>
    <t>TG3001</t>
  </si>
  <si>
    <t>Industrial Practice</t>
  </si>
  <si>
    <t>TG3002</t>
  </si>
  <si>
    <t>TIC1001</t>
  </si>
  <si>
    <t>Introduction to Computing and Programming I</t>
  </si>
  <si>
    <t>TIC1101</t>
  </si>
  <si>
    <t>Professional, Ethical, and Social Issues in Computing</t>
  </si>
  <si>
    <t>TIC2001</t>
  </si>
  <si>
    <t>TIC2002</t>
  </si>
  <si>
    <t>Introduction to Software Engineering</t>
  </si>
  <si>
    <t>TIC2101</t>
  </si>
  <si>
    <t>Information Systems and Organisations</t>
  </si>
  <si>
    <t>TIC2301</t>
  </si>
  <si>
    <t>TIC2601</t>
  </si>
  <si>
    <t>Database and Web Applications</t>
  </si>
  <si>
    <t>TIC2901</t>
  </si>
  <si>
    <t>Communications for Computing Professionals</t>
  </si>
  <si>
    <t>TIC3901</t>
  </si>
  <si>
    <t>TIC4001</t>
  </si>
  <si>
    <t>Software Engineering Practicum I</t>
  </si>
  <si>
    <t>TIC4005</t>
  </si>
  <si>
    <t>Parallel and Distributed Software Engineering</t>
  </si>
  <si>
    <t>TIC4301</t>
  </si>
  <si>
    <t>Information Security Practicum I</t>
  </si>
  <si>
    <t>TIC4303</t>
  </si>
  <si>
    <t>TIC4305</t>
  </si>
  <si>
    <t>Network Security</t>
  </si>
  <si>
    <t>TIC4902B</t>
  </si>
  <si>
    <t>TIC4902C</t>
  </si>
  <si>
    <t>Cybersecurity Capstone Project</t>
  </si>
  <si>
    <t>TIC4902S</t>
  </si>
  <si>
    <t>Software Engineering Capstone</t>
  </si>
  <si>
    <t>TIE2010</t>
  </si>
  <si>
    <t>TIE2030</t>
  </si>
  <si>
    <t>Programming Methodology with Python</t>
  </si>
  <si>
    <t>TIE2110</t>
  </si>
  <si>
    <t>TIE2130</t>
  </si>
  <si>
    <t>TIE3100</t>
  </si>
  <si>
    <t>TIE3101</t>
  </si>
  <si>
    <t>Statistics for Engineering Applications</t>
  </si>
  <si>
    <t>TIE3110</t>
  </si>
  <si>
    <t>TIE4101</t>
  </si>
  <si>
    <t>TIE4203</t>
  </si>
  <si>
    <t>Decision Analysis in Industrial &amp; Operations Management</t>
  </si>
  <si>
    <t>TIE4240</t>
  </si>
  <si>
    <t>TIE4252</t>
  </si>
  <si>
    <t>Introduction to Systems Engineering</t>
  </si>
  <si>
    <t>TM4102</t>
  </si>
  <si>
    <t>TMA1001</t>
  </si>
  <si>
    <t>TMA2103</t>
  </si>
  <si>
    <t>TME2121</t>
  </si>
  <si>
    <t>Engineering Thermodynamics</t>
  </si>
  <si>
    <t>TME2134</t>
  </si>
  <si>
    <t>TME2142</t>
  </si>
  <si>
    <t>TME2151</t>
  </si>
  <si>
    <t>Principles of Mechanical Engineering Materials</t>
  </si>
  <si>
    <t>TME2162</t>
  </si>
  <si>
    <t>Manufacturing Processes</t>
  </si>
  <si>
    <t>TME2401</t>
  </si>
  <si>
    <t>TME3242</t>
  </si>
  <si>
    <t>TME3261</t>
  </si>
  <si>
    <t>TME3273</t>
  </si>
  <si>
    <t>TME4102</t>
  </si>
  <si>
    <t>TME4223</t>
  </si>
  <si>
    <t>TME4245</t>
  </si>
  <si>
    <t>TP5001</t>
  </si>
  <si>
    <t>TR3002N</t>
  </si>
  <si>
    <t>NUS Enterprise Academy</t>
  </si>
  <si>
    <t>TR3201N</t>
  </si>
  <si>
    <t>TR3202I</t>
  </si>
  <si>
    <t>Start-up Internship Programme</t>
  </si>
  <si>
    <t>TR3202N</t>
  </si>
  <si>
    <t>TR3202S</t>
  </si>
  <si>
    <t>TR3202T</t>
  </si>
  <si>
    <t>TR3203E</t>
  </si>
  <si>
    <t>Start-up Case Study &amp; Analysis</t>
  </si>
  <si>
    <t>TR3203I</t>
  </si>
  <si>
    <t>TR3203N</t>
  </si>
  <si>
    <t>TR3203P</t>
  </si>
  <si>
    <t>TR3203T</t>
  </si>
  <si>
    <t>TR3204S</t>
  </si>
  <si>
    <t>Entrepreneurship Practicum (Short)</t>
  </si>
  <si>
    <t>TR3204T</t>
  </si>
  <si>
    <t>TR4049N</t>
  </si>
  <si>
    <t>Seminars in Entrepreneurship - Lean Startup: Market Validation</t>
  </si>
  <si>
    <t>TR4049T</t>
  </si>
  <si>
    <t>TR5049</t>
  </si>
  <si>
    <t>Lean Startup Practicum</t>
  </si>
  <si>
    <t>TR5101</t>
  </si>
  <si>
    <t>New Venture Finance</t>
  </si>
  <si>
    <t>TR5102</t>
  </si>
  <si>
    <t>Intellectual Property Basics for Entrepreneurs</t>
  </si>
  <si>
    <t>TR5302</t>
  </si>
  <si>
    <t>Experiential Entrepreneurship Internship</t>
  </si>
  <si>
    <t>TRA2101</t>
  </si>
  <si>
    <t>Basic Translation</t>
  </si>
  <si>
    <t>TRA3204</t>
  </si>
  <si>
    <t>Literary Translation</t>
  </si>
  <si>
    <t>TRA3206</t>
  </si>
  <si>
    <t>Translation and Interpreting Theories</t>
  </si>
  <si>
    <t>TS1101E</t>
  </si>
  <si>
    <t>Introduction to Theatre and Performance</t>
  </si>
  <si>
    <t>TS2217</t>
  </si>
  <si>
    <t>Introduction to Performance Studies</t>
  </si>
  <si>
    <t>TS2233</t>
  </si>
  <si>
    <t>Making Contemporary Performance</t>
  </si>
  <si>
    <t>TS2240</t>
  </si>
  <si>
    <t>Voice Studies and Production</t>
  </si>
  <si>
    <t>TS3222</t>
  </si>
  <si>
    <t>Applied Theatre</t>
  </si>
  <si>
    <t>TS3243</t>
  </si>
  <si>
    <t>Stage and Screen</t>
  </si>
  <si>
    <t>TS3246</t>
  </si>
  <si>
    <t>Shakespeare and Asian Performances</t>
  </si>
  <si>
    <t>TS3551</t>
  </si>
  <si>
    <t>TS4212</t>
  </si>
  <si>
    <t>Playwriting: Practice and Production</t>
  </si>
  <si>
    <t>TS4218</t>
  </si>
  <si>
    <t>Theatre and Postmodernism</t>
  </si>
  <si>
    <t>TS4219</t>
  </si>
  <si>
    <t>Media and Popular Performance</t>
  </si>
  <si>
    <t>TS4220</t>
  </si>
  <si>
    <t>Shakespeare and Film</t>
  </si>
  <si>
    <t>TS4221</t>
  </si>
  <si>
    <t>Performance Research</t>
  </si>
  <si>
    <t>TS4401</t>
  </si>
  <si>
    <t>TS4660</t>
  </si>
  <si>
    <t>TS5232</t>
  </si>
  <si>
    <t>PERFORMANCE, HISTORY AND CULTURAL MEMORY</t>
  </si>
  <si>
    <t>TS5232R</t>
  </si>
  <si>
    <t>TS5660</t>
  </si>
  <si>
    <t>TS6660</t>
  </si>
  <si>
    <t>TSC3100</t>
  </si>
  <si>
    <t>Supply Chain Design</t>
  </si>
  <si>
    <t>TSC3223</t>
  </si>
  <si>
    <t>Supply Chain Financial Analysis and Management</t>
  </si>
  <si>
    <t>TSC3224</t>
  </si>
  <si>
    <t>Distribution &amp; Warehousing</t>
  </si>
  <si>
    <t>TSC3226</t>
  </si>
  <si>
    <t>Transportation Management</t>
  </si>
  <si>
    <t>TSC4101</t>
  </si>
  <si>
    <t>B. Tech Dissertation</t>
  </si>
  <si>
    <t>TTG1401</t>
  </si>
  <si>
    <t>TTG3001</t>
  </si>
  <si>
    <t>TTG3002</t>
  </si>
  <si>
    <t>UAR2207</t>
  </si>
  <si>
    <t>Reinventing Intercultural Exchanges</t>
  </si>
  <si>
    <t>University Scholars Programme</t>
  </si>
  <si>
    <t>UD5221</t>
  </si>
  <si>
    <t>Urban Design Theory and Discourse</t>
  </si>
  <si>
    <t>UD5521</t>
  </si>
  <si>
    <t>Planning Process: Quantitative &amp; Policy Dimensions</t>
  </si>
  <si>
    <t>UD5601</t>
  </si>
  <si>
    <t>URBAN DESIGN STUDIO 1</t>
  </si>
  <si>
    <t>UD5622</t>
  </si>
  <si>
    <t>Framework of Urban Design and Analysis</t>
  </si>
  <si>
    <t>UD5625</t>
  </si>
  <si>
    <t>Methods and Tools for Urban Design</t>
  </si>
  <si>
    <t>UD5626</t>
  </si>
  <si>
    <t>UHB2206</t>
  </si>
  <si>
    <t>Leadership in a Complex World</t>
  </si>
  <si>
    <t>UHB2207</t>
  </si>
  <si>
    <t>Language, Cognition, and Culture</t>
  </si>
  <si>
    <t>UIS3901</t>
  </si>
  <si>
    <t>UIS3901S</t>
  </si>
  <si>
    <t>UIS3902</t>
  </si>
  <si>
    <t>UIS3902S</t>
  </si>
  <si>
    <t>UIS3931</t>
  </si>
  <si>
    <t>UIS3932</t>
  </si>
  <si>
    <t>UIS4932</t>
  </si>
  <si>
    <t>UIT2201</t>
  </si>
  <si>
    <t>Computer Science &amp; The I.T. Revolution</t>
  </si>
  <si>
    <t>ULS2201</t>
  </si>
  <si>
    <t>The Biomolecular Revolution</t>
  </si>
  <si>
    <t>ULS2210</t>
  </si>
  <si>
    <t>Invertebrate Innovations</t>
  </si>
  <si>
    <t>UNL2201</t>
  </si>
  <si>
    <t>Space, Time &amp; Matter: The Shape and Size of the Cosmos</t>
  </si>
  <si>
    <t>UNL2210</t>
  </si>
  <si>
    <t>Mathematics and Reality</t>
  </si>
  <si>
    <t>UPC2209</t>
  </si>
  <si>
    <t>Pollution Control Engineering in Singapore</t>
  </si>
  <si>
    <t>UPC2212</t>
  </si>
  <si>
    <t>Solving Energy and Environmental Problems</t>
  </si>
  <si>
    <t>UPI2212</t>
  </si>
  <si>
    <t>Technologies of the Self: from Socrates to Self-Help</t>
  </si>
  <si>
    <t>UQF2101J</t>
  </si>
  <si>
    <t>Quantitative Reasoning Foundation: Pursuit of Happiness</t>
  </si>
  <si>
    <t>UQR2215</t>
  </si>
  <si>
    <t>Developing Meaningful Indicators</t>
  </si>
  <si>
    <t>USE2304</t>
  </si>
  <si>
    <t>Singapore: The Making Of A Nation</t>
  </si>
  <si>
    <t>USE2324</t>
  </si>
  <si>
    <t>Gender and Ecology in Asia</t>
  </si>
  <si>
    <t>USE2325</t>
  </si>
  <si>
    <t>Democracy and Inequality</t>
  </si>
  <si>
    <t>USR4002A</t>
  </si>
  <si>
    <t>Critical Reflection</t>
  </si>
  <si>
    <t>USR4002B</t>
  </si>
  <si>
    <t>USR4002C</t>
  </si>
  <si>
    <t>USR4002D</t>
  </si>
  <si>
    <t>UTC1102B</t>
  </si>
  <si>
    <t>Junior Seminar: The Darwinian Revolution</t>
  </si>
  <si>
    <t>Tembusu College</t>
  </si>
  <si>
    <t>UTC1102C</t>
  </si>
  <si>
    <t>Junior Seminar: Fakes</t>
  </si>
  <si>
    <t>UTC1102P</t>
  </si>
  <si>
    <t>Junior Seminar: Murals: Expressions from/on the Walls</t>
  </si>
  <si>
    <t>UTC1112A</t>
  </si>
  <si>
    <t>Jr Sem Special Topics: Humanising Technology</t>
  </si>
  <si>
    <t>UTC1112G</t>
  </si>
  <si>
    <t>Special Topics: Sustainability</t>
  </si>
  <si>
    <t>UTC1402</t>
  </si>
  <si>
    <t>Jr Sem: Generation Y: Transitions to Adulthood</t>
  </si>
  <si>
    <t>College of Alice &amp; Peter Tan</t>
  </si>
  <si>
    <t>UTC1403</t>
  </si>
  <si>
    <t>Jr Sem: Hidden Communities</t>
  </si>
  <si>
    <t>UTC1404</t>
  </si>
  <si>
    <t>Jr Sem: Power and Ideas</t>
  </si>
  <si>
    <t>UTC1416</t>
  </si>
  <si>
    <t>Jr Sem: Games, Game Communities and Society</t>
  </si>
  <si>
    <t>UTC1420</t>
  </si>
  <si>
    <t>Jr Sem: Beyond Borders: Migrant Community &amp; Resilience</t>
  </si>
  <si>
    <t>UTC1702B</t>
  </si>
  <si>
    <t>Thinking in Systems: Diseases and Healthcare</t>
  </si>
  <si>
    <t>Residential College 4</t>
  </si>
  <si>
    <t>UTC1702D</t>
  </si>
  <si>
    <t>Thinking in Systems: Population Dynamics</t>
  </si>
  <si>
    <t>UTC1702E</t>
  </si>
  <si>
    <t>Thinking in Systems: Energy Systems</t>
  </si>
  <si>
    <t>UTC1702F</t>
  </si>
  <si>
    <t>Thinking in Systems: Disaster Resilience</t>
  </si>
  <si>
    <t>UTC1702G</t>
  </si>
  <si>
    <t>Thinking in systems: Markets and Inequality</t>
  </si>
  <si>
    <t>UTC2107</t>
  </si>
  <si>
    <t>Senior Seminar: Negotiating in a Complex World</t>
  </si>
  <si>
    <t>UTC2113</t>
  </si>
  <si>
    <t>Gaming Life</t>
  </si>
  <si>
    <t>UTC2116</t>
  </si>
  <si>
    <t>The University Today</t>
  </si>
  <si>
    <t>UTC2400</t>
  </si>
  <si>
    <t>UTC2402</t>
  </si>
  <si>
    <t>Environment and Civil Society in Singapore</t>
  </si>
  <si>
    <t>UTC2407</t>
  </si>
  <si>
    <t>Work and Inequality</t>
  </si>
  <si>
    <t>UTC2411</t>
  </si>
  <si>
    <t>Unequal Parenthoods in Asia</t>
  </si>
  <si>
    <t>UTC2412</t>
  </si>
  <si>
    <t>Mental wellness: Local and global approaches</t>
  </si>
  <si>
    <t>UTC2414</t>
  </si>
  <si>
    <t>Stakeholders: Community Engagement as a Sum of Diverse Parts</t>
  </si>
  <si>
    <t>UTC2417</t>
  </si>
  <si>
    <t>Identities in Asia</t>
  </si>
  <si>
    <t>UTC2703</t>
  </si>
  <si>
    <t>Infectious Diseases: Dynamics, Strategies and Policies</t>
  </si>
  <si>
    <t>UTC2704</t>
  </si>
  <si>
    <t>Projects in Systems</t>
  </si>
  <si>
    <t>UTC2706</t>
  </si>
  <si>
    <t>Committed to Changing Our World: The Systems Pioneers</t>
  </si>
  <si>
    <t>UTC2713</t>
  </si>
  <si>
    <t>Modelling Singlehood, Marriage &amp; Fertility in Singapore</t>
  </si>
  <si>
    <t>UTC2715</t>
  </si>
  <si>
    <t>Decoding Complexity</t>
  </si>
  <si>
    <t>UTC2716</t>
  </si>
  <si>
    <t>Networks: Complexity and Order</t>
  </si>
  <si>
    <t>UTC2717</t>
  </si>
  <si>
    <t>Navigation in Singapore Waters-Bridges and Barriers</t>
  </si>
  <si>
    <t>UTC2722</t>
  </si>
  <si>
    <t>Sleep Health: A Holistic Approach to Well-being</t>
  </si>
  <si>
    <t>UTC2723</t>
  </si>
  <si>
    <t>How would YOU lead?</t>
  </si>
  <si>
    <t>UTC2727</t>
  </si>
  <si>
    <t>Mind, Ego and Happiness</t>
  </si>
  <si>
    <t>UTC3102</t>
  </si>
  <si>
    <t>Tembusu Undergraduate Research Opportunity (UROP)</t>
  </si>
  <si>
    <t>UTC3401</t>
  </si>
  <si>
    <t>CAPT Undergraduate Research Opportunity (UROP)</t>
  </si>
  <si>
    <t>UTOA2001EL</t>
  </si>
  <si>
    <t>Undergraduate Teaching Opportunities Programme (UTOP)</t>
  </si>
  <si>
    <t>UTOA2001HY</t>
  </si>
  <si>
    <t>UTOA2001NM</t>
  </si>
  <si>
    <t>UTOA2001PH</t>
  </si>
  <si>
    <t>UTOA2002EL</t>
  </si>
  <si>
    <t>UTOA2201EL</t>
  </si>
  <si>
    <t>UTOS2001</t>
  </si>
  <si>
    <t>UTOS2001B</t>
  </si>
  <si>
    <t>UTOS2001C</t>
  </si>
  <si>
    <t>UTOS2001F</t>
  </si>
  <si>
    <t>UTOS2001M</t>
  </si>
  <si>
    <t>UTOS2001P</t>
  </si>
  <si>
    <t>UTOS2001R</t>
  </si>
  <si>
    <t>UTOS2001S</t>
  </si>
  <si>
    <t>UTOS2002</t>
  </si>
  <si>
    <t>UTOS2002B</t>
  </si>
  <si>
    <t>UTOS2002C</t>
  </si>
  <si>
    <t>UTOS2002F</t>
  </si>
  <si>
    <t>UTOS2002M</t>
  </si>
  <si>
    <t>UTOS2002P</t>
  </si>
  <si>
    <t>UTOS2002R</t>
  </si>
  <si>
    <t>UTOS2002S</t>
  </si>
  <si>
    <t>UTOS2201</t>
  </si>
  <si>
    <t>UTOS2201B</t>
  </si>
  <si>
    <t>UTOS2201C</t>
  </si>
  <si>
    <t>UTOS2201F</t>
  </si>
  <si>
    <t>UTOS2201M</t>
  </si>
  <si>
    <t>UTOS2201P</t>
  </si>
  <si>
    <t>UTOS2201R</t>
  </si>
  <si>
    <t>UTOS2201S</t>
  </si>
  <si>
    <t>UTS2100</t>
  </si>
  <si>
    <t>Intelligence and Singapore Society</t>
  </si>
  <si>
    <t>UTS2101</t>
  </si>
  <si>
    <t>Biomedicine and Singapore Society</t>
  </si>
  <si>
    <t>UTS2114</t>
  </si>
  <si>
    <t>Technologies and Ageing in Singapore</t>
  </si>
  <si>
    <t>UTS2400</t>
  </si>
  <si>
    <t>UTS2402</t>
  </si>
  <si>
    <t>UTS2405</t>
  </si>
  <si>
    <t>UTS2408</t>
  </si>
  <si>
    <t>UTS2409</t>
  </si>
  <si>
    <t>UTS2410</t>
  </si>
  <si>
    <t>UTS2705</t>
  </si>
  <si>
    <t>UTS2707</t>
  </si>
  <si>
    <t>UTS2708</t>
  </si>
  <si>
    <t>UTS2714</t>
  </si>
  <si>
    <t>UTW1001A</t>
  </si>
  <si>
    <t>Identities and Ideas in Modern Market-Driven Societies</t>
  </si>
  <si>
    <t>UTW1001C</t>
  </si>
  <si>
    <t>At the Edges of the Law: Ethics, Morality and Society</t>
  </si>
  <si>
    <t>UTW1001D</t>
  </si>
  <si>
    <t>Self, Society, and the Digital Tsunami era</t>
  </si>
  <si>
    <t>UTW1001F</t>
  </si>
  <si>
    <t>The Internationalisation of Higher Education: Impact and Challenges</t>
  </si>
  <si>
    <t>UTW1001H</t>
  </si>
  <si>
    <t>Eating Right(s): The Politics of Food</t>
  </si>
  <si>
    <t>UTW1001I</t>
  </si>
  <si>
    <t>Science and popular narratives</t>
  </si>
  <si>
    <t>UTW1001M</t>
  </si>
  <si>
    <t>Sport and competition</t>
  </si>
  <si>
    <t>UTW1001O</t>
  </si>
  <si>
    <t>The Urban and the Wild: Reading Urban Progress in Southeast Asia Ecocritically.</t>
  </si>
  <si>
    <t>UTW1001Z</t>
  </si>
  <si>
    <t>Colour: Theory, meaning and practice</t>
  </si>
  <si>
    <t>UTW2001H</t>
  </si>
  <si>
    <t>RISK and Popular Culture</t>
  </si>
  <si>
    <t>VM5101</t>
  </si>
  <si>
    <t>Introduction of Palliative Care</t>
  </si>
  <si>
    <t>VM5102</t>
  </si>
  <si>
    <t>Symptom Management in Palliative Care I</t>
  </si>
  <si>
    <t>VM5103</t>
  </si>
  <si>
    <t>Symptom Management in Palliative Care II</t>
  </si>
  <si>
    <t>VM5104</t>
  </si>
  <si>
    <t>Psychiatry, Psychosocial Care &amp; Spiritual Issues in Palliative Care</t>
  </si>
  <si>
    <t>XD3103</t>
  </si>
  <si>
    <t>Planet Earth</t>
  </si>
  <si>
    <t>XFA4401</t>
  </si>
  <si>
    <t>Integrated Honours Project</t>
  </si>
  <si>
    <t>XFA4402</t>
  </si>
  <si>
    <t>Integrated Honours Thesis</t>
  </si>
  <si>
    <t>XFA4403</t>
  </si>
  <si>
    <t>XFA4405</t>
  </si>
  <si>
    <t>XFA4408</t>
  </si>
  <si>
    <t>XFB4001</t>
  </si>
  <si>
    <t>XFB4002</t>
  </si>
  <si>
    <t>Integrated Honours Dissertation</t>
  </si>
  <si>
    <t>XFC4101</t>
  </si>
  <si>
    <t>XFE4401</t>
  </si>
  <si>
    <t>XFS4199M</t>
  </si>
  <si>
    <t>XFS4199S</t>
  </si>
  <si>
    <t>YCC2121</t>
  </si>
  <si>
    <t>Modern Social Thought</t>
  </si>
  <si>
    <t>Yale-NUS College</t>
  </si>
  <si>
    <t>YHU2202</t>
  </si>
  <si>
    <t>Introduction to Creative Nonfiction</t>
  </si>
  <si>
    <t>YHU2218</t>
  </si>
  <si>
    <t>Chinese Migrations to Southeast Asia</t>
  </si>
  <si>
    <t>YHU2232</t>
  </si>
  <si>
    <t>Global Science Fiction: Their Worlds, Ourselves</t>
  </si>
  <si>
    <t>YHU2241</t>
  </si>
  <si>
    <t>Why be moral?</t>
  </si>
  <si>
    <t>YHU2292</t>
  </si>
  <si>
    <t>Introduction to Writing Poetry</t>
  </si>
  <si>
    <t>YHU2293</t>
  </si>
  <si>
    <t>Introduction to Fiction Writing</t>
  </si>
  <si>
    <t>YHU2302</t>
  </si>
  <si>
    <t>Realism and Naturalism</t>
  </si>
  <si>
    <t>YHU2311</t>
  </si>
  <si>
    <t>Girlfriends: Narratives of Friendship</t>
  </si>
  <si>
    <t>YHU2315</t>
  </si>
  <si>
    <t>Classical Indian Philosophy</t>
  </si>
  <si>
    <t>YHU2319</t>
  </si>
  <si>
    <t>Acting I</t>
  </si>
  <si>
    <t>YHU2320</t>
  </si>
  <si>
    <t>Foundations of Environmental Humanities</t>
  </si>
  <si>
    <t>YHU2322</t>
  </si>
  <si>
    <t>Comics and Graphic Novels</t>
  </si>
  <si>
    <t>YHU2335</t>
  </si>
  <si>
    <t>Central Themes in Philosophy of Science</t>
  </si>
  <si>
    <t>YHU2336</t>
  </si>
  <si>
    <t>Learning by (un)doing - Artistic Practice in Grim Times</t>
  </si>
  <si>
    <t>YHU2337</t>
  </si>
  <si>
    <t>The Materiality of Photographs: Craft and Perception</t>
  </si>
  <si>
    <t>YHU2338</t>
  </si>
  <si>
    <t>Social Norms: A Philosophical Introduction</t>
  </si>
  <si>
    <t>YHU3221</t>
  </si>
  <si>
    <t>Nietzsche: An Untimely Thinker and His Times</t>
  </si>
  <si>
    <t>YHU3252</t>
  </si>
  <si>
    <t>The Roman Emperor Nero: Sex, Stage and Scandal</t>
  </si>
  <si>
    <t>YHU3271</t>
  </si>
  <si>
    <t>Love in Antiquity: Eros in Translation</t>
  </si>
  <si>
    <t>YHU3290</t>
  </si>
  <si>
    <t>Dantes Divine Comedy</t>
  </si>
  <si>
    <t>YHU3317</t>
  </si>
  <si>
    <t>The Words and World of Lu Xun</t>
  </si>
  <si>
    <t>YHU3336</t>
  </si>
  <si>
    <t>Goodbye Mao: China's Post Socialist Transformations</t>
  </si>
  <si>
    <t>YHU3355</t>
  </si>
  <si>
    <t>Narai: Siams Worldly King and the Revolution of 1688</t>
  </si>
  <si>
    <t>YHU3362</t>
  </si>
  <si>
    <t>Ancient Greek Tragedy and Fifth-century Athens</t>
  </si>
  <si>
    <t>YHU3363</t>
  </si>
  <si>
    <t>Global History of Capitalism</t>
  </si>
  <si>
    <t>YHU3366</t>
  </si>
  <si>
    <t>Edge of Empires: The China-Southeast Asia Borderlands</t>
  </si>
  <si>
    <t>YHU3368</t>
  </si>
  <si>
    <t>Readings in Neo-Daoism</t>
  </si>
  <si>
    <t>YHU3370</t>
  </si>
  <si>
    <t>The Great War and Modern Memory</t>
  </si>
  <si>
    <t>YHU3371</t>
  </si>
  <si>
    <t>Chinese Temples in Southeast Asia</t>
  </si>
  <si>
    <t>YHU3374</t>
  </si>
  <si>
    <t>Formal Logic</t>
  </si>
  <si>
    <t>YHU3375</t>
  </si>
  <si>
    <t>Thomas Aquinas on Evil</t>
  </si>
  <si>
    <t>YHU3376</t>
  </si>
  <si>
    <t>Situations (Contemporary Art in Todays Society)</t>
  </si>
  <si>
    <t>YHU3377</t>
  </si>
  <si>
    <t>The Document in Image-Making</t>
  </si>
  <si>
    <t>YHU3378</t>
  </si>
  <si>
    <t>Contemporary Populism: Logic, Method and Implications</t>
  </si>
  <si>
    <t>YHU3379</t>
  </si>
  <si>
    <t>The Nature of Rationality</t>
  </si>
  <si>
    <t>YHU4101</t>
  </si>
  <si>
    <t>History Capstone Project</t>
  </si>
  <si>
    <t>YHU4102</t>
  </si>
  <si>
    <t>Literature Capstone Project</t>
  </si>
  <si>
    <t>YHU4103</t>
  </si>
  <si>
    <t>Philosophy Capstone Project</t>
  </si>
  <si>
    <t>YHU4104</t>
  </si>
  <si>
    <t>Arts and Humanities Capstone Project</t>
  </si>
  <si>
    <t>YHU4206</t>
  </si>
  <si>
    <t>The History of History</t>
  </si>
  <si>
    <t>YHU4214</t>
  </si>
  <si>
    <t>Adv Creative Nonfiction: Metafiction &amp; the Lit of Fact</t>
  </si>
  <si>
    <t>YHU4238</t>
  </si>
  <si>
    <t>The Female Image in Japanese Art and Literature</t>
  </si>
  <si>
    <t>YHU4244</t>
  </si>
  <si>
    <t>Global Microhistory</t>
  </si>
  <si>
    <t>YHU4245</t>
  </si>
  <si>
    <t>Perception</t>
  </si>
  <si>
    <t>YHU4255</t>
  </si>
  <si>
    <t>Borges and Literary Theory</t>
  </si>
  <si>
    <t>YHU4259</t>
  </si>
  <si>
    <t>Historiography of the Zuo Zhuan</t>
  </si>
  <si>
    <t>YHU4260</t>
  </si>
  <si>
    <t>The Annals of Lu Buwei, the First Book of Chinese Empire</t>
  </si>
  <si>
    <t>YID1201</t>
  </si>
  <si>
    <t>Introduction to Environmental Studies</t>
  </si>
  <si>
    <t>YID2214</t>
  </si>
  <si>
    <t>Plants and People</t>
  </si>
  <si>
    <t>YID2216</t>
  </si>
  <si>
    <t>Foundations of Environmental History</t>
  </si>
  <si>
    <t>YID3202H</t>
  </si>
  <si>
    <t>Special Topics: Asia's Edible Ocean</t>
  </si>
  <si>
    <t>YID3211</t>
  </si>
  <si>
    <t>Ecological Economics</t>
  </si>
  <si>
    <t>YID3222</t>
  </si>
  <si>
    <t>Planetary Health</t>
  </si>
  <si>
    <t>YID3223</t>
  </si>
  <si>
    <t>Powering the Planet</t>
  </si>
  <si>
    <t>YID3226</t>
  </si>
  <si>
    <t>Capitalist Nature: Tensions of a Commodified World</t>
  </si>
  <si>
    <t>YID3227</t>
  </si>
  <si>
    <t>Religion and the Environment</t>
  </si>
  <si>
    <t>YID3228</t>
  </si>
  <si>
    <t>Sustainability Law and Policy</t>
  </si>
  <si>
    <t>YID4101</t>
  </si>
  <si>
    <t>Environmental Studies Capstone Project</t>
  </si>
  <si>
    <t>YID4202</t>
  </si>
  <si>
    <t>Environmental Research Paper</t>
  </si>
  <si>
    <t>YIR3301</t>
  </si>
  <si>
    <t>Independent Reading and Research</t>
  </si>
  <si>
    <t>YIR3301G</t>
  </si>
  <si>
    <t>YIR3302</t>
  </si>
  <si>
    <t>YIR3302G</t>
  </si>
  <si>
    <t>YIR3303</t>
  </si>
  <si>
    <t>YIR3303G</t>
  </si>
  <si>
    <t>YIR3304</t>
  </si>
  <si>
    <t>YIR3304G</t>
  </si>
  <si>
    <t>YIR3305</t>
  </si>
  <si>
    <t>YIR3305G</t>
  </si>
  <si>
    <t>YIR3306</t>
  </si>
  <si>
    <t>YIR3306G</t>
  </si>
  <si>
    <t>YIR3307</t>
  </si>
  <si>
    <t>YIR3307G</t>
  </si>
  <si>
    <t>YIR3308</t>
  </si>
  <si>
    <t>YIR3308G</t>
  </si>
  <si>
    <t>YIR3309</t>
  </si>
  <si>
    <t>YIR3309G</t>
  </si>
  <si>
    <t>YIR3310</t>
  </si>
  <si>
    <t>YIR3310G</t>
  </si>
  <si>
    <t>YIR3311</t>
  </si>
  <si>
    <t>YIR3311G</t>
  </si>
  <si>
    <t>YIR3312</t>
  </si>
  <si>
    <t>YIR3312G</t>
  </si>
  <si>
    <t>YIR3313</t>
  </si>
  <si>
    <t>YIR3313G</t>
  </si>
  <si>
    <t>YIR3314</t>
  </si>
  <si>
    <t>YIR3314G</t>
  </si>
  <si>
    <t>YIR3315</t>
  </si>
  <si>
    <t>YIR3315G</t>
  </si>
  <si>
    <t>YIR3316</t>
  </si>
  <si>
    <t>YIR3316G</t>
  </si>
  <si>
    <t>YIR3317</t>
  </si>
  <si>
    <t>YIR3317G</t>
  </si>
  <si>
    <t>YIR3318</t>
  </si>
  <si>
    <t>YIR3318G</t>
  </si>
  <si>
    <t>YIR3319</t>
  </si>
  <si>
    <t>YIR3319G</t>
  </si>
  <si>
    <t>YIR3401</t>
  </si>
  <si>
    <t>Independent Language Study and Research</t>
  </si>
  <si>
    <t>YIR3401G</t>
  </si>
  <si>
    <t>YIR3402</t>
  </si>
  <si>
    <t>YIR3402G</t>
  </si>
  <si>
    <t>YIR4301</t>
  </si>
  <si>
    <t>Special Project in Science</t>
  </si>
  <si>
    <t>YIR4301G</t>
  </si>
  <si>
    <t>YIR4302</t>
  </si>
  <si>
    <t>YIR4302G</t>
  </si>
  <si>
    <t>YIR4303</t>
  </si>
  <si>
    <t>YIR4303G</t>
  </si>
  <si>
    <t>YIR4304G</t>
  </si>
  <si>
    <t>YLC1202</t>
  </si>
  <si>
    <t>Beginning Chinese 2</t>
  </si>
  <si>
    <t>YLC2202</t>
  </si>
  <si>
    <t>Intermediate Chinese 2</t>
  </si>
  <si>
    <t>YLC3204</t>
  </si>
  <si>
    <t>Advanced Chinese 2</t>
  </si>
  <si>
    <t>YLL2201</t>
  </si>
  <si>
    <t>Intermediate Latin</t>
  </si>
  <si>
    <t>YLS1202</t>
  </si>
  <si>
    <t>Beginning Spanish 2</t>
  </si>
  <si>
    <t>YSC1212</t>
  </si>
  <si>
    <t>Introduction to Computer Science</t>
  </si>
  <si>
    <t>YSC1213</t>
  </si>
  <si>
    <t>General Physics</t>
  </si>
  <si>
    <t>YSC1216</t>
  </si>
  <si>
    <t>YSC1219</t>
  </si>
  <si>
    <t>Introduction to Black Holes</t>
  </si>
  <si>
    <t>YSC1223</t>
  </si>
  <si>
    <t>Science of Everyday Cooking</t>
  </si>
  <si>
    <t>YSC2209</t>
  </si>
  <si>
    <t>Proof</t>
  </si>
  <si>
    <t>YSC2216</t>
  </si>
  <si>
    <t>YSC2221</t>
  </si>
  <si>
    <t>Introduction to Python</t>
  </si>
  <si>
    <t>YSC2222</t>
  </si>
  <si>
    <t>Organic Chemistry Laboratory</t>
  </si>
  <si>
    <t>YSC2224</t>
  </si>
  <si>
    <t>Accelerated Organic Chemistry</t>
  </si>
  <si>
    <t>YSC2227</t>
  </si>
  <si>
    <t>C: A Language for Science and Engineering</t>
  </si>
  <si>
    <t>YSC2229</t>
  </si>
  <si>
    <t>Introductory Data Structures and Algorithms</t>
  </si>
  <si>
    <t>YSC2231</t>
  </si>
  <si>
    <t>Foundations of Neuroscience</t>
  </si>
  <si>
    <t>YSC2232</t>
  </si>
  <si>
    <t>Linear Algebra</t>
  </si>
  <si>
    <t>YSC2233</t>
  </si>
  <si>
    <t>Genetics</t>
  </si>
  <si>
    <t>YSC2236</t>
  </si>
  <si>
    <t>Microbiomes</t>
  </si>
  <si>
    <t>YSC2239</t>
  </si>
  <si>
    <t>YSC2243</t>
  </si>
  <si>
    <t>YSC2244</t>
  </si>
  <si>
    <t>Programming for Data Science</t>
  </si>
  <si>
    <t>YSC2248</t>
  </si>
  <si>
    <t>Analytical Chemistry with Laboratory</t>
  </si>
  <si>
    <t>YSC2252</t>
  </si>
  <si>
    <t>YSC2258</t>
  </si>
  <si>
    <t>Fungi and Society</t>
  </si>
  <si>
    <t>YSC2259</t>
  </si>
  <si>
    <t>Social Insect Societies</t>
  </si>
  <si>
    <t>YSC2260</t>
  </si>
  <si>
    <t>Health and Disease</t>
  </si>
  <si>
    <t>YSC3206</t>
  </si>
  <si>
    <t>Introduction to Real Analysis</t>
  </si>
  <si>
    <t>YSC3210</t>
  </si>
  <si>
    <t>Introduction to Quantum Mechanics</t>
  </si>
  <si>
    <t>YSC3211</t>
  </si>
  <si>
    <t>Introduction to Electrodynamics</t>
  </si>
  <si>
    <t>YSC3215</t>
  </si>
  <si>
    <t>Research Seminar</t>
  </si>
  <si>
    <t>YSC3235</t>
  </si>
  <si>
    <t>Animal Behaviour</t>
  </si>
  <si>
    <t>YSC3236</t>
  </si>
  <si>
    <t>Functional Programming and Proving</t>
  </si>
  <si>
    <t>YSC3237</t>
  </si>
  <si>
    <t>Introduction to Modern Algebra</t>
  </si>
  <si>
    <t>YSC3239</t>
  </si>
  <si>
    <t>Geometry and the Emergence of Perspective</t>
  </si>
  <si>
    <t>YSC3251</t>
  </si>
  <si>
    <t>Conservation Ecology</t>
  </si>
  <si>
    <t>YSC3252</t>
  </si>
  <si>
    <t>Statistical Computing</t>
  </si>
  <si>
    <t>YSC3257</t>
  </si>
  <si>
    <t>Molecular Biology</t>
  </si>
  <si>
    <t>YSC4101</t>
  </si>
  <si>
    <t>Physical Sciences Capstone Project</t>
  </si>
  <si>
    <t>YSC4102</t>
  </si>
  <si>
    <t>Life Sciences Capstone Project</t>
  </si>
  <si>
    <t>YSC4103</t>
  </si>
  <si>
    <t>Maths, Computational &amp; Statistical Sci Capstone Project</t>
  </si>
  <si>
    <t>YSC4209</t>
  </si>
  <si>
    <t>Physical Sciences Research Seminar</t>
  </si>
  <si>
    <t>YSC4210</t>
  </si>
  <si>
    <t>Complex Analysis</t>
  </si>
  <si>
    <t>YSC4220</t>
  </si>
  <si>
    <t>Ordinary and Partial Differential Equations</t>
  </si>
  <si>
    <t>YSC4223</t>
  </si>
  <si>
    <t>Physics in Curved Spacetime</t>
  </si>
  <si>
    <t>YSC4231</t>
  </si>
  <si>
    <t>Parallel, Concurrent and Distributed Programming</t>
  </si>
  <si>
    <t>YSC4232</t>
  </si>
  <si>
    <t>YSC4233</t>
  </si>
  <si>
    <t>Software Verification and Validation</t>
  </si>
  <si>
    <t>YSS1203</t>
  </si>
  <si>
    <t>Principles of Economics</t>
  </si>
  <si>
    <t>YSS1206</t>
  </si>
  <si>
    <t>YSS2201</t>
  </si>
  <si>
    <t>YSS2203</t>
  </si>
  <si>
    <t>Intermediate Microeconomics</t>
  </si>
  <si>
    <t>YSS2211</t>
  </si>
  <si>
    <t>Econometrics</t>
  </si>
  <si>
    <t>YSS2212</t>
  </si>
  <si>
    <t>Firms' Strategies and Market Competition</t>
  </si>
  <si>
    <t>YSS2214</t>
  </si>
  <si>
    <t>Intermediate Macroeconomics</t>
  </si>
  <si>
    <t>YSS2216</t>
  </si>
  <si>
    <t>Statistics and Research Methods for Psychology</t>
  </si>
  <si>
    <t>YSS2218</t>
  </si>
  <si>
    <t>YSS2220</t>
  </si>
  <si>
    <t>Adelaide to Zhuhai: Cities in Comparative Perspective</t>
  </si>
  <si>
    <t>YSS2227</t>
  </si>
  <si>
    <t>Introduction to Anthropology</t>
  </si>
  <si>
    <t>YSS2228</t>
  </si>
  <si>
    <t>Modern Southeast Asia</t>
  </si>
  <si>
    <t>YSS2233</t>
  </si>
  <si>
    <t>Investment Analysis and Economics</t>
  </si>
  <si>
    <t>YSS2234</t>
  </si>
  <si>
    <t>The Good Company</t>
  </si>
  <si>
    <t>YSS2250</t>
  </si>
  <si>
    <t>Diplomacy and Statecraft</t>
  </si>
  <si>
    <t>YSS3202</t>
  </si>
  <si>
    <t>Ethnography</t>
  </si>
  <si>
    <t>YSS3214</t>
  </si>
  <si>
    <t>YSS3217</t>
  </si>
  <si>
    <t>Urbanization in China</t>
  </si>
  <si>
    <t>YSS3222</t>
  </si>
  <si>
    <t>Urban Theory</t>
  </si>
  <si>
    <t>YSS3228</t>
  </si>
  <si>
    <t>Health Psychology</t>
  </si>
  <si>
    <t>YSS3231</t>
  </si>
  <si>
    <t>Methods in the Social Sciences</t>
  </si>
  <si>
    <t>YSS3245</t>
  </si>
  <si>
    <t>Key Debates in Urban Planning and Policy</t>
  </si>
  <si>
    <t>YSS3246</t>
  </si>
  <si>
    <t>Cities of the Global South</t>
  </si>
  <si>
    <t>YSS3248</t>
  </si>
  <si>
    <t>Advanced Macroeconomics</t>
  </si>
  <si>
    <t>YSS3255</t>
  </si>
  <si>
    <t>International Development</t>
  </si>
  <si>
    <t>YSS3257</t>
  </si>
  <si>
    <t>Seminar on Corporate Finance</t>
  </si>
  <si>
    <t>YSS3262</t>
  </si>
  <si>
    <t>Global Cities</t>
  </si>
  <si>
    <t>YSS3273</t>
  </si>
  <si>
    <t>Geospatial &amp; Demographic Methods</t>
  </si>
  <si>
    <t>YSS3275</t>
  </si>
  <si>
    <t>Social Life of Cities</t>
  </si>
  <si>
    <t>YSS3277</t>
  </si>
  <si>
    <t>The Anthropological Imagination</t>
  </si>
  <si>
    <t>YSS3278</t>
  </si>
  <si>
    <t>YSS3300</t>
  </si>
  <si>
    <t>Research Tutorial: Lab in Developmental Psychology</t>
  </si>
  <si>
    <t>YSS3303</t>
  </si>
  <si>
    <t>Cities and Economic Development</t>
  </si>
  <si>
    <t>YSS3317</t>
  </si>
  <si>
    <t>Adolescent Development</t>
  </si>
  <si>
    <t>YSS3331</t>
  </si>
  <si>
    <t>Empirical Qualitative Analysis in Global Affairs</t>
  </si>
  <si>
    <t>YSS3341</t>
  </si>
  <si>
    <t>Contemporary Left Politics and Movements</t>
  </si>
  <si>
    <t>YSS3342</t>
  </si>
  <si>
    <t>Nature and Environment in Japan</t>
  </si>
  <si>
    <t>YSS3343</t>
  </si>
  <si>
    <t>Platos Political Thought</t>
  </si>
  <si>
    <t>YSS4101</t>
  </si>
  <si>
    <t>Global Affairs Capstone Project</t>
  </si>
  <si>
    <t>YSS4102</t>
  </si>
  <si>
    <t>Psychology Capstone Project</t>
  </si>
  <si>
    <t>YSS4103</t>
  </si>
  <si>
    <t>Anthropology Capstone Project</t>
  </si>
  <si>
    <t>YSS4104</t>
  </si>
  <si>
    <t>Economics Capstone Project</t>
  </si>
  <si>
    <t>YSS4105</t>
  </si>
  <si>
    <t>Urban Studies Capstone Project</t>
  </si>
  <si>
    <t>YSS4106</t>
  </si>
  <si>
    <t xml:space="preserve">Philosophy, Politics  and Economics Capstone Project</t>
  </si>
  <si>
    <t>YSS4107</t>
  </si>
  <si>
    <t>YSS4206C</t>
  </si>
  <si>
    <t>Topics in Psychology: The Pursuit of Happiness</t>
  </si>
  <si>
    <t>YSS4211</t>
  </si>
  <si>
    <t>India as a Rising Power, 1947-Present</t>
  </si>
  <si>
    <t>YSS4226</t>
  </si>
  <si>
    <t>Migration Policy</t>
  </si>
  <si>
    <t>YSS4227</t>
  </si>
  <si>
    <t>Topics in Applied Econometrics</t>
  </si>
  <si>
    <t>YSS4234</t>
  </si>
  <si>
    <t>Urban Heritage: Place, Memory, Identity</t>
  </si>
  <si>
    <t>YSS4235</t>
  </si>
  <si>
    <t>Religion and the Media Turn</t>
  </si>
  <si>
    <t>YSS4258</t>
  </si>
  <si>
    <t>Asset Pricing, Financial Markets &amp; Behavioural Finance</t>
  </si>
  <si>
    <t>YSS4268</t>
  </si>
  <si>
    <t>Non-State Actors in Global Affairs</t>
  </si>
  <si>
    <t>YSS4271</t>
  </si>
  <si>
    <t>Confronting Social Injustice with Social Psychology</t>
  </si>
  <si>
    <t>YSS4275</t>
  </si>
  <si>
    <t>Law, Governance and Development in Asia</t>
  </si>
  <si>
    <t>YSS4276</t>
  </si>
  <si>
    <t>The Political Theory of Hannah Arendt</t>
  </si>
  <si>
    <t>YSS4278</t>
  </si>
  <si>
    <t>The Political Economy of Governance</t>
  </si>
  <si>
    <t>YSS4279</t>
  </si>
  <si>
    <t>Body and Society</t>
  </si>
  <si>
    <t>YSS4280</t>
  </si>
  <si>
    <t>Markets and Institutions</t>
  </si>
  <si>
    <t>ZB3288</t>
  </si>
  <si>
    <t>Advanced UROPS in Computational Biology I</t>
  </si>
  <si>
    <t>ZB3289</t>
  </si>
  <si>
    <t>Advanced UROPS in Computational Biology II</t>
  </si>
  <si>
    <t>ZB3311</t>
  </si>
  <si>
    <t>ZB3312</t>
  </si>
  <si>
    <t>ZB4171</t>
  </si>
  <si>
    <t>Advanced Topics in Bioinformatics</t>
  </si>
  <si>
    <t>ZB4199</t>
  </si>
  <si>
    <t>Honours Project in Computational Biology</t>
  </si>
  <si>
    <t>ZB4299</t>
  </si>
  <si>
    <t>Applied Project in Computational Biology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</si>
</sst>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applyNumberFormat="1" fontId="0" applyFont="1" fillId="0" applyFill="1" borderId="0" applyBorder="1" xfId="0"/>
    <xf numFmtId="0" applyNumberFormat="1" fontId="1" applyFont="1" fillId="2" applyFill="1" borderId="0" applyBorder="1" xfId="0">
      <alignment vertical="top"/>
    </xf>
    <xf numFmtId="0" applyNumberFormat="1" fontId="1" applyFont="1" fillId="2" applyFill="1" borderId="0" applyBorder="1" xfId="0">
      <alignment horizontal="center" vertical="top"/>
    </xf>
    <xf numFmtId="0" applyNumberFormat="1" fontId="0" applyFont="1" fillId="0" applyFill="1" borderId="0" applyBorder="1" xfId="0">
      <alignment horizontal="center"/>
    </xf>
    <xf numFmtId="0" applyNumberFormat="1" fontId="1" applyFont="1" fillId="2" applyFill="1" borderId="0" applyBorder="1" xfId="0">
      <alignment horizontal="center" vertical="top" wrapText="1"/>
    </xf>
    <xf numFmtId="0" applyNumberFormat="1" fontId="2" applyFont="1" fillId="0" applyFill="1" borderId="0" applyBorder="1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1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25" x14ac:dyDescent="0.45"/>
  <cols>
    <col min="1" max="1" width="20.73046875" customWidth="1"/>
    <col min="2" max="2" width="75.73046875" customWidth="1"/>
    <col min="3" max="3" width="14.73046875" customWidth="1" style="3"/>
    <col min="4" max="5" width="26.73046875" customWidth="1" style="3"/>
    <col min="6" max="6" width="31.73046875" customWidth="1"/>
    <col min="7" max="7" width="32.73046875" customWidth="1"/>
    <col min="8" max="8" width="20.73046875" customWidth="1" style="3"/>
  </cols>
  <sheetData>
    <row r="1" ht="28.5">
      <c r="A1" s="1" t="s">
        <v>0</v>
      </c>
      <c r="B1" s="1" t="s">
        <v>1</v>
      </c>
      <c r="C1" s="2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2" t="s">
        <v>7</v>
      </c>
    </row>
    <row r="2">
      <c r="A2" s="0" t="s">
        <v>8</v>
      </c>
      <c r="B2" s="0" t="s">
        <v>9</v>
      </c>
      <c r="C2" s="5">
        <f>=HYPERLINK("https://nusmods.com/modules/AC5001#timetable","Timetable")</f>
      </c>
      <c r="D2" s="5">
        <f>=HYPERLINK("https://canvas.nus.edu.sg/courses/22732","Canvas course site")</f>
      </c>
      <c r="E2" s="5">
        <f>=HYPERLINK("https://luminus.nus.edu.sg/modules/111f4d31-092e-48b9-a4eb-4dadefb23ab7","LumiNUS course site")</f>
      </c>
      <c r="F2" s="0" t="s">
        <v>10</v>
      </c>
      <c r="G2" s="0" t="s">
        <v>11</v>
      </c>
      <c r="H2" s="3">
        <v>34</v>
      </c>
    </row>
    <row r="3">
      <c r="A3" s="0" t="s">
        <v>12</v>
      </c>
      <c r="B3" s="0" t="s">
        <v>13</v>
      </c>
      <c r="C3" s="5">
        <f>=HYPERLINK("https://nusmods.com/modules/AC5002#timetable","Timetable")</f>
      </c>
      <c r="D3" s="5"/>
      <c r="E3" s="5">
        <f>=HYPERLINK("https://luminus.nus.edu.sg/modules/803dacf4-f7b4-4ff6-8c3c-90ec72c93365","LumiNUS course site")</f>
      </c>
      <c r="F3" s="0" t="s">
        <v>10</v>
      </c>
      <c r="G3" s="0" t="s">
        <v>11</v>
      </c>
      <c r="H3" s="3">
        <v>29</v>
      </c>
    </row>
    <row r="4">
      <c r="A4" s="0" t="s">
        <v>14</v>
      </c>
      <c r="B4" s="0" t="s">
        <v>15</v>
      </c>
      <c r="C4" s="5">
        <f>=HYPERLINK("https://nusmods.com/modules/AC5006#timetable","Timetable")</f>
      </c>
      <c r="D4" s="5"/>
      <c r="E4" s="5">
        <f>=HYPERLINK("https://luminus.nus.edu.sg/modules/849b4343-9c8e-4cbd-9736-a6f9c538490a","LumiNUS course site")</f>
      </c>
      <c r="F4" s="0" t="s">
        <v>10</v>
      </c>
      <c r="G4" s="0" t="s">
        <v>11</v>
      </c>
      <c r="H4" s="3">
        <v>31</v>
      </c>
    </row>
    <row r="5">
      <c r="A5" s="0" t="s">
        <v>16</v>
      </c>
      <c r="B5" s="0" t="s">
        <v>17</v>
      </c>
      <c r="C5" s="5">
        <f>=HYPERLINK("https://nusmods.com/modules/AC5007#timetable","Timetable")</f>
      </c>
      <c r="D5" s="5"/>
      <c r="E5" s="5">
        <f>=HYPERLINK("https://luminus.nus.edu.sg/modules/60a1f1f7-dad3-44e0-ae44-8cefc246286b","LumiNUS course site")</f>
      </c>
      <c r="F5" s="0" t="s">
        <v>10</v>
      </c>
      <c r="G5" s="0" t="s">
        <v>11</v>
      </c>
      <c r="H5" s="3">
        <v>6</v>
      </c>
    </row>
    <row r="6">
      <c r="A6" s="0" t="s">
        <v>18</v>
      </c>
      <c r="B6" s="0" t="s">
        <v>19</v>
      </c>
      <c r="C6" s="5">
        <f>=HYPERLINK("https://nusmods.com/modules/AC5009#timetable","Timetable")</f>
      </c>
      <c r="D6" s="5"/>
      <c r="E6" s="5"/>
      <c r="F6" s="0" t="s">
        <v>10</v>
      </c>
      <c r="G6" s="0" t="s">
        <v>11</v>
      </c>
      <c r="H6" s="3">
        <v>11</v>
      </c>
    </row>
    <row r="7">
      <c r="A7" s="0" t="s">
        <v>20</v>
      </c>
      <c r="B7" s="0" t="s">
        <v>21</v>
      </c>
      <c r="C7" s="5">
        <f>=HYPERLINK("https://nusmods.com/modules/AC5011#timetable","Timetable")</f>
      </c>
      <c r="D7" s="5">
        <f>=HYPERLINK("https://canvas.nus.edu.sg/courses/22759","Canvas course site")</f>
      </c>
      <c r="E7" s="5">
        <f>=HYPERLINK("https://luminus.nus.edu.sg/modules/55402baf-9e65-4699-aff9-e02df899c9a1","LumiNUS course site")</f>
      </c>
      <c r="F7" s="0" t="s">
        <v>10</v>
      </c>
      <c r="G7" s="0" t="s">
        <v>11</v>
      </c>
      <c r="H7" s="3">
        <v>21</v>
      </c>
    </row>
    <row r="8">
      <c r="A8" s="0" t="s">
        <v>22</v>
      </c>
      <c r="B8" s="0" t="s">
        <v>23</v>
      </c>
      <c r="C8" s="5">
        <f>=HYPERLINK("https://nusmods.com/modules/AC5013#timetable","Timetable")</f>
      </c>
      <c r="D8" s="5"/>
      <c r="E8" s="5">
        <f>=HYPERLINK("https://luminus.nus.edu.sg/modules/786a7e38-9a70-45ec-98a9-7888cae9dbd8","LumiNUS course site")</f>
      </c>
      <c r="F8" s="0" t="s">
        <v>10</v>
      </c>
      <c r="G8" s="0" t="s">
        <v>11</v>
      </c>
      <c r="H8" s="3">
        <v>17</v>
      </c>
    </row>
    <row r="9">
      <c r="A9" s="0" t="s">
        <v>24</v>
      </c>
      <c r="B9" s="0" t="s">
        <v>25</v>
      </c>
      <c r="C9" s="5">
        <f>=HYPERLINK("https://nusmods.com/modules/AC5014#timetable","Timetable")</f>
      </c>
      <c r="D9" s="5"/>
      <c r="E9" s="5">
        <f>=HYPERLINK("https://luminus.nus.edu.sg/modules/ea30cbe8-3759-45ca-b8f1-aa1b49161ee4","LumiNUS course site")</f>
      </c>
      <c r="F9" s="0" t="s">
        <v>10</v>
      </c>
      <c r="G9" s="0" t="s">
        <v>11</v>
      </c>
      <c r="H9" s="3">
        <v>7</v>
      </c>
    </row>
    <row r="10">
      <c r="A10" s="0" t="s">
        <v>26</v>
      </c>
      <c r="B10" s="0" t="s">
        <v>27</v>
      </c>
      <c r="C10" s="5">
        <f>=HYPERLINK("https://nusmods.com/modules/ACC1701#timetable","Timetable")</f>
      </c>
      <c r="D10" s="5">
        <f>=HYPERLINK("https://canvas.nus.edu.sg/courses/22773","Canvas course site")</f>
      </c>
      <c r="E10" s="5">
        <f>=HYPERLINK("https://luminus.nus.edu.sg/modules/89b2d60a-faf3-491e-8a6a-e215267edc4d","LumiNUS course site")</f>
      </c>
      <c r="F10" s="0" t="s">
        <v>28</v>
      </c>
      <c r="G10" s="0" t="s">
        <v>29</v>
      </c>
      <c r="H10" s="3">
        <v>499</v>
      </c>
    </row>
    <row r="11">
      <c r="A11" s="0" t="s">
        <v>30</v>
      </c>
      <c r="B11" s="0" t="s">
        <v>27</v>
      </c>
      <c r="C11" s="5">
        <f>=HYPERLINK("https://nusmods.com/modules/ACC1701X#timetable","Timetable")</f>
      </c>
      <c r="D11" s="5">
        <f>=HYPERLINK("https://canvas.nus.edu.sg/courses/22773","Canvas course site")</f>
      </c>
      <c r="E11" s="5"/>
      <c r="F11" s="0" t="s">
        <v>28</v>
      </c>
      <c r="G11" s="0" t="s">
        <v>29</v>
      </c>
      <c r="H11" s="3">
        <v>395</v>
      </c>
    </row>
    <row r="12">
      <c r="A12" s="0" t="s">
        <v>31</v>
      </c>
      <c r="B12" s="0" t="s">
        <v>32</v>
      </c>
      <c r="C12" s="5">
        <f>=HYPERLINK("https://nusmods.com/modules/ACC2706#timetable","Timetable")</f>
      </c>
      <c r="D12" s="5"/>
      <c r="E12" s="5">
        <f>=HYPERLINK("https://luminus.nus.edu.sg/modules/9f820e33-6080-4422-b53f-3fd4d61a3831","LumiNUS course site")</f>
      </c>
      <c r="F12" s="0" t="s">
        <v>28</v>
      </c>
      <c r="G12" s="0" t="s">
        <v>29</v>
      </c>
      <c r="H12" s="3">
        <v>97</v>
      </c>
    </row>
    <row r="13">
      <c r="A13" s="0" t="s">
        <v>33</v>
      </c>
      <c r="B13" s="0" t="s">
        <v>34</v>
      </c>
      <c r="C13" s="5">
        <f>=HYPERLINK("https://nusmods.com/modules/ACC2707#timetable","Timetable")</f>
      </c>
      <c r="D13" s="5">
        <f>=HYPERLINK("https://canvas.nus.edu.sg/courses/22782","Canvas course site")</f>
      </c>
      <c r="E13" s="5"/>
      <c r="F13" s="0" t="s">
        <v>28</v>
      </c>
      <c r="G13" s="0" t="s">
        <v>29</v>
      </c>
      <c r="H13" s="3">
        <v>85</v>
      </c>
    </row>
    <row r="14">
      <c r="A14" s="0" t="s">
        <v>35</v>
      </c>
      <c r="B14" s="0" t="s">
        <v>36</v>
      </c>
      <c r="C14" s="5">
        <f>=HYPERLINK("https://nusmods.com/modules/ACC2708#timetable","Timetable")</f>
      </c>
      <c r="D14" s="5">
        <f>=HYPERLINK("https://canvas.nus.edu.sg/courses/22787","Canvas course site")</f>
      </c>
      <c r="E14" s="5">
        <f>=HYPERLINK("https://luminus.nus.edu.sg/modules/76f3eb60-471c-4c97-9462-610195407365","LumiNUS course site")</f>
      </c>
      <c r="F14" s="0" t="s">
        <v>28</v>
      </c>
      <c r="G14" s="0" t="s">
        <v>29</v>
      </c>
      <c r="H14" s="3">
        <v>59</v>
      </c>
    </row>
    <row r="15">
      <c r="A15" s="0" t="s">
        <v>37</v>
      </c>
      <c r="B15" s="0" t="s">
        <v>38</v>
      </c>
      <c r="C15" s="5">
        <f>=HYPERLINK("https://nusmods.com/modules/ACC2709#timetable","Timetable")</f>
      </c>
      <c r="D15" s="5">
        <f>=HYPERLINK("https://canvas.nus.edu.sg/courses/22397","Canvas course site")</f>
      </c>
      <c r="E15" s="5">
        <f>=HYPERLINK("https://luminus.nus.edu.sg/modules/42e4de38-d610-4a37-ae6a-8f8342c2610c","LumiNUS course site")</f>
      </c>
      <c r="F15" s="0" t="s">
        <v>28</v>
      </c>
      <c r="G15" s="0" t="s">
        <v>29</v>
      </c>
      <c r="H15" s="3">
        <v>145</v>
      </c>
    </row>
    <row r="16">
      <c r="A16" s="0" t="s">
        <v>39</v>
      </c>
      <c r="B16" s="0" t="s">
        <v>40</v>
      </c>
      <c r="C16" s="5">
        <f>=HYPERLINK("https://nusmods.com/modules/ACC3701#timetable","Timetable")</f>
      </c>
      <c r="D16" s="5"/>
      <c r="E16" s="5">
        <f>=HYPERLINK("https://luminus.nus.edu.sg/modules/bd95a8a3-69d4-4141-b2d5-d4bd6bfbea7f","LumiNUS course site")</f>
      </c>
      <c r="F16" s="0" t="s">
        <v>28</v>
      </c>
      <c r="G16" s="0" t="s">
        <v>29</v>
      </c>
      <c r="H16" s="3">
        <v>116</v>
      </c>
    </row>
    <row r="17">
      <c r="A17" s="0" t="s">
        <v>41</v>
      </c>
      <c r="B17" s="0" t="s">
        <v>42</v>
      </c>
      <c r="C17" s="5">
        <f>=HYPERLINK("https://nusmods.com/modules/ACC3702#timetable","Timetable")</f>
      </c>
      <c r="D17" s="5">
        <f>=HYPERLINK("https://canvas.nus.edu.sg/courses/22800","Canvas course site")</f>
      </c>
      <c r="E17" s="5"/>
      <c r="F17" s="0" t="s">
        <v>28</v>
      </c>
      <c r="G17" s="0" t="s">
        <v>29</v>
      </c>
      <c r="H17" s="3">
        <v>112</v>
      </c>
    </row>
    <row r="18">
      <c r="A18" s="0" t="s">
        <v>43</v>
      </c>
      <c r="B18" s="0" t="s">
        <v>44</v>
      </c>
      <c r="C18" s="5">
        <f>=HYPERLINK("https://nusmods.com/modules/ACC3703#timetable","Timetable")</f>
      </c>
      <c r="D18" s="5">
        <f>=HYPERLINK("https://canvas.nus.edu.sg/courses/22805","Canvas course site")</f>
      </c>
      <c r="E18" s="5"/>
      <c r="F18" s="0" t="s">
        <v>28</v>
      </c>
      <c r="G18" s="0" t="s">
        <v>29</v>
      </c>
      <c r="H18" s="3">
        <v>101</v>
      </c>
    </row>
    <row r="19">
      <c r="A19" s="0" t="s">
        <v>45</v>
      </c>
      <c r="B19" s="0" t="s">
        <v>46</v>
      </c>
      <c r="C19" s="5">
        <f>=HYPERLINK("https://nusmods.com/modules/ACC3704#timetable","Timetable")</f>
      </c>
      <c r="D19" s="5"/>
      <c r="E19" s="5">
        <f>=HYPERLINK("https://luminus.nus.edu.sg/modules/86991a92-75f9-4ca5-922e-fb65a072d0db","LumiNUS course site")</f>
      </c>
      <c r="F19" s="0" t="s">
        <v>28</v>
      </c>
      <c r="G19" s="0" t="s">
        <v>29</v>
      </c>
      <c r="H19" s="3">
        <v>93</v>
      </c>
    </row>
    <row r="20">
      <c r="A20" s="0" t="s">
        <v>47</v>
      </c>
      <c r="B20" s="0" t="s">
        <v>48</v>
      </c>
      <c r="C20" s="5">
        <f>=HYPERLINK("https://nusmods.com/modules/ACC3705#timetable","Timetable")</f>
      </c>
      <c r="D20" s="5"/>
      <c r="E20" s="5">
        <f>=HYPERLINK("https://luminus.nus.edu.sg/modules/b6264177-81d6-4c5d-8016-6c0792b4f422","LumiNUS course site")</f>
      </c>
      <c r="F20" s="0" t="s">
        <v>28</v>
      </c>
      <c r="G20" s="0" t="s">
        <v>29</v>
      </c>
      <c r="H20" s="3">
        <v>101</v>
      </c>
    </row>
    <row r="21">
      <c r="A21" s="0" t="s">
        <v>49</v>
      </c>
      <c r="B21" s="0" t="s">
        <v>50</v>
      </c>
      <c r="C21" s="5">
        <f>=HYPERLINK("https://nusmods.com/modules/ACC3706#timetable","Timetable")</f>
      </c>
      <c r="D21" s="5"/>
      <c r="E21" s="5">
        <f>=HYPERLINK("https://luminus.nus.edu.sg/modules/b6bc679b-f708-4655-8bda-280a7b1b478d","LumiNUS course site")</f>
      </c>
      <c r="F21" s="0" t="s">
        <v>28</v>
      </c>
      <c r="G21" s="0" t="s">
        <v>29</v>
      </c>
      <c r="H21" s="3">
        <v>96</v>
      </c>
    </row>
    <row r="22">
      <c r="A22" s="0" t="s">
        <v>51</v>
      </c>
      <c r="B22" s="0" t="s">
        <v>52</v>
      </c>
      <c r="C22" s="5">
        <f>=HYPERLINK("https://nusmods.com/modules/ACC3707#timetable","Timetable")</f>
      </c>
      <c r="D22" s="5">
        <f>=HYPERLINK("https://canvas.nus.edu.sg/courses/22822","Canvas course site")</f>
      </c>
      <c r="E22" s="5"/>
      <c r="F22" s="0" t="s">
        <v>28</v>
      </c>
      <c r="G22" s="0" t="s">
        <v>29</v>
      </c>
      <c r="H22" s="3">
        <v>69</v>
      </c>
    </row>
    <row r="23">
      <c r="A23" s="0" t="s">
        <v>53</v>
      </c>
      <c r="B23" s="0" t="s">
        <v>54</v>
      </c>
      <c r="C23" s="5">
        <f>=HYPERLINK("https://nusmods.com/modules/ACC4619#timetable","Timetable")</f>
      </c>
      <c r="D23" s="5"/>
      <c r="E23" s="5"/>
      <c r="F23" s="0" t="s">
        <v>28</v>
      </c>
      <c r="G23" s="0" t="s">
        <v>29</v>
      </c>
      <c r="H23" s="3">
        <v>0</v>
      </c>
    </row>
    <row r="24">
      <c r="A24" s="0" t="s">
        <v>55</v>
      </c>
      <c r="B24" s="0" t="s">
        <v>54</v>
      </c>
      <c r="C24" s="5">
        <f>=HYPERLINK("https://nusmods.com/modules/ACC4629#timetable","Timetable")</f>
      </c>
      <c r="D24" s="5"/>
      <c r="E24" s="5"/>
      <c r="F24" s="0" t="s">
        <v>28</v>
      </c>
      <c r="G24" s="0" t="s">
        <v>29</v>
      </c>
      <c r="H24" s="3">
        <v>0</v>
      </c>
    </row>
    <row r="25">
      <c r="A25" s="0" t="s">
        <v>56</v>
      </c>
      <c r="B25" s="0" t="s">
        <v>57</v>
      </c>
      <c r="C25" s="5">
        <f>=HYPERLINK("https://nusmods.com/modules/ACC4711#timetable","Timetable")</f>
      </c>
      <c r="D25" s="5"/>
      <c r="E25" s="5">
        <f>=HYPERLINK("https://luminus.nus.edu.sg/modules/645553d8-c0ec-455b-964c-c2447cec5afb","LumiNUS course site")</f>
      </c>
      <c r="F25" s="0" t="s">
        <v>28</v>
      </c>
      <c r="G25" s="0" t="s">
        <v>29</v>
      </c>
      <c r="H25" s="3">
        <v>55</v>
      </c>
    </row>
    <row r="26">
      <c r="A26" s="0" t="s">
        <v>58</v>
      </c>
      <c r="B26" s="0" t="s">
        <v>59</v>
      </c>
      <c r="C26" s="5">
        <f>=HYPERLINK("https://nusmods.com/modules/ACC4712#timetable","Timetable")</f>
      </c>
      <c r="D26" s="5"/>
      <c r="E26" s="5">
        <f>=HYPERLINK("https://luminus.nus.edu.sg/modules/b999c7eb-6f01-45db-90fb-2b819da4872f","LumiNUS course site")</f>
      </c>
      <c r="F26" s="0" t="s">
        <v>28</v>
      </c>
      <c r="G26" s="0" t="s">
        <v>29</v>
      </c>
      <c r="H26" s="3">
        <v>40</v>
      </c>
    </row>
    <row r="27">
      <c r="A27" s="0" t="s">
        <v>60</v>
      </c>
      <c r="B27" s="0" t="s">
        <v>61</v>
      </c>
      <c r="C27" s="5">
        <f>=HYPERLINK("https://nusmods.com/modules/ACC4713#timetable","Timetable")</f>
      </c>
      <c r="D27" s="5"/>
      <c r="E27" s="5">
        <f>=HYPERLINK("https://luminus.nus.edu.sg/modules/ab2ecef0-cf20-42fd-801b-2fa818ccfc58","LumiNUS course site")</f>
      </c>
      <c r="F27" s="0" t="s">
        <v>28</v>
      </c>
      <c r="G27" s="0" t="s">
        <v>29</v>
      </c>
      <c r="H27" s="3">
        <v>23</v>
      </c>
    </row>
    <row r="28">
      <c r="A28" s="0" t="s">
        <v>62</v>
      </c>
      <c r="B28" s="0" t="s">
        <v>63</v>
      </c>
      <c r="C28" s="5">
        <f>=HYPERLINK("https://nusmods.com/modules/ACC4714#timetable","Timetable")</f>
      </c>
      <c r="D28" s="5">
        <f>=HYPERLINK("https://canvas.nus.edu.sg/courses/22872","Canvas course site")</f>
      </c>
      <c r="E28" s="5">
        <f>=HYPERLINK("https://luminus.nus.edu.sg/modules/faa62cd5-7df4-4382-838f-17a733535b3c","LumiNUS course site")</f>
      </c>
      <c r="F28" s="0" t="s">
        <v>28</v>
      </c>
      <c r="G28" s="0" t="s">
        <v>29</v>
      </c>
      <c r="H28" s="3">
        <v>12</v>
      </c>
    </row>
    <row r="29">
      <c r="A29" s="0" t="s">
        <v>64</v>
      </c>
      <c r="B29" s="0" t="s">
        <v>54</v>
      </c>
      <c r="C29" s="5">
        <f>=HYPERLINK("https://nusmods.com/modules/ACC4751#timetable","Timetable")</f>
      </c>
      <c r="D29" s="5"/>
      <c r="E29" s="5"/>
      <c r="F29" s="0" t="s">
        <v>28</v>
      </c>
      <c r="G29" s="0" t="s">
        <v>29</v>
      </c>
      <c r="H29" s="3">
        <v>0</v>
      </c>
    </row>
    <row r="30">
      <c r="A30" s="0" t="s">
        <v>65</v>
      </c>
      <c r="B30" s="0" t="s">
        <v>66</v>
      </c>
      <c r="C30" s="5">
        <f>=HYPERLINK("https://nusmods.com/modules/ACC4752#timetable","Timetable")</f>
      </c>
      <c r="D30" s="5"/>
      <c r="E30" s="5"/>
      <c r="F30" s="0" t="s">
        <v>28</v>
      </c>
      <c r="G30" s="0" t="s">
        <v>29</v>
      </c>
      <c r="H30" s="3">
        <v>0</v>
      </c>
    </row>
    <row r="31">
      <c r="A31" s="0" t="s">
        <v>67</v>
      </c>
      <c r="B31" s="0" t="s">
        <v>68</v>
      </c>
      <c r="C31" s="5">
        <f>=HYPERLINK("https://nusmods.com/modules/ACC4761A#timetable","Timetable")</f>
      </c>
      <c r="D31" s="5"/>
      <c r="E31" s="5">
        <f>=HYPERLINK("https://luminus.nus.edu.sg/modules/048f19e3-ded8-4e13-a624-26be3b1a9b9f","LumiNUS course site")</f>
      </c>
      <c r="F31" s="0" t="s">
        <v>28</v>
      </c>
      <c r="G31" s="0" t="s">
        <v>29</v>
      </c>
      <c r="H31" s="3">
        <v>16</v>
      </c>
    </row>
    <row r="32">
      <c r="A32" s="0" t="s">
        <v>69</v>
      </c>
      <c r="B32" s="0" t="s">
        <v>70</v>
      </c>
      <c r="C32" s="5">
        <f>=HYPERLINK("https://nusmods.com/modules/ACC4761H#timetable","Timetable")</f>
      </c>
      <c r="D32" s="5"/>
      <c r="E32" s="5">
        <f>=HYPERLINK("https://luminus.nus.edu.sg/modules/6cd63bd7-16d4-44db-b02c-dad7435cef66","LumiNUS course site")</f>
      </c>
      <c r="F32" s="0" t="s">
        <v>28</v>
      </c>
      <c r="G32" s="0" t="s">
        <v>29</v>
      </c>
      <c r="H32" s="3">
        <v>23</v>
      </c>
    </row>
    <row r="33">
      <c r="A33" s="0" t="s">
        <v>71</v>
      </c>
      <c r="B33" s="0" t="s">
        <v>72</v>
      </c>
      <c r="C33" s="5">
        <f>=HYPERLINK("https://nusmods.com/modules/ACE5404#timetable","Timetable")</f>
      </c>
      <c r="D33" s="5"/>
      <c r="E33" s="5">
        <f>=HYPERLINK("https://luminus.nus.edu.sg/modules/7bdfa72c-fbfd-4477-a64c-fc1938691ffa","LumiNUS course site")</f>
      </c>
      <c r="F33" s="0" t="s">
        <v>73</v>
      </c>
      <c r="G33" s="0" t="s">
        <v>74</v>
      </c>
      <c r="H33" s="3">
        <v>30</v>
      </c>
    </row>
    <row r="34">
      <c r="A34" s="0" t="s">
        <v>75</v>
      </c>
      <c r="B34" s="0" t="s">
        <v>76</v>
      </c>
      <c r="C34" s="5">
        <f>=HYPERLINK("https://nusmods.com/modules/ACE5406#timetable","Timetable")</f>
      </c>
      <c r="D34" s="5"/>
      <c r="E34" s="5">
        <f>=HYPERLINK("https://luminus.nus.edu.sg/modules/bf8d2c53-b509-4637-a25f-f0a7e1f5e9e8","LumiNUS course site")</f>
      </c>
      <c r="F34" s="0" t="s">
        <v>73</v>
      </c>
      <c r="G34" s="0" t="s">
        <v>74</v>
      </c>
      <c r="H34" s="3">
        <v>49</v>
      </c>
    </row>
    <row r="35">
      <c r="A35" s="0" t="s">
        <v>77</v>
      </c>
      <c r="B35" s="0" t="s">
        <v>78</v>
      </c>
      <c r="C35" s="5">
        <f>=HYPERLINK("https://nusmods.com/modules/ACE5407#timetable","Timetable")</f>
      </c>
      <c r="D35" s="5"/>
      <c r="E35" s="5">
        <f>=HYPERLINK("https://luminus.nus.edu.sg/modules/9e4995d4-ab4e-469a-b4bd-4728e85316b5","LumiNUS course site")</f>
      </c>
      <c r="F35" s="0" t="s">
        <v>73</v>
      </c>
      <c r="G35" s="0" t="s">
        <v>74</v>
      </c>
      <c r="H35" s="3">
        <v>30</v>
      </c>
    </row>
    <row r="36">
      <c r="A36" s="0" t="s">
        <v>79</v>
      </c>
      <c r="B36" s="0" t="s">
        <v>80</v>
      </c>
      <c r="C36" s="5">
        <f>=HYPERLINK("https://nusmods.com/modules/AH2101#timetable","Timetable")</f>
      </c>
      <c r="D36" s="5"/>
      <c r="E36" s="5">
        <f>=HYPERLINK("https://luminus.nus.edu.sg/modules/5f92fa05-cee4-4293-aa26-7c2d58ae409d","LumiNUS course site")</f>
      </c>
      <c r="F36" s="0" t="s">
        <v>73</v>
      </c>
      <c r="G36" s="0" t="s">
        <v>81</v>
      </c>
      <c r="H36" s="3">
        <v>70</v>
      </c>
    </row>
    <row r="37">
      <c r="A37" s="0" t="s">
        <v>82</v>
      </c>
      <c r="B37" s="0" t="s">
        <v>83</v>
      </c>
      <c r="C37" s="5">
        <f>=HYPERLINK("https://nusmods.com/modules/AH2201#timetable","Timetable")</f>
      </c>
      <c r="D37" s="5"/>
      <c r="E37" s="5">
        <f>=HYPERLINK("https://luminus.nus.edu.sg/modules/018358e2-23a0-4f25-9363-e24224f516ca","LumiNUS course site")</f>
      </c>
      <c r="F37" s="0" t="s">
        <v>73</v>
      </c>
      <c r="G37" s="0" t="s">
        <v>81</v>
      </c>
      <c r="H37" s="3">
        <v>9</v>
      </c>
    </row>
    <row r="38">
      <c r="A38" s="0" t="s">
        <v>84</v>
      </c>
      <c r="B38" s="0" t="s">
        <v>85</v>
      </c>
      <c r="C38" s="5">
        <f>=HYPERLINK("https://nusmods.com/modules/AH2204#timetable","Timetable")</f>
      </c>
      <c r="D38" s="5"/>
      <c r="E38" s="5">
        <f>=HYPERLINK("https://luminus.nus.edu.sg/modules/ae3a380e-8707-4226-b79e-ba5ef7c2b686","LumiNUS course site")</f>
      </c>
      <c r="F38" s="0" t="s">
        <v>73</v>
      </c>
      <c r="G38" s="0" t="s">
        <v>81</v>
      </c>
      <c r="H38" s="3">
        <v>6</v>
      </c>
    </row>
    <row r="39">
      <c r="A39" s="0" t="s">
        <v>86</v>
      </c>
      <c r="B39" s="0" t="s">
        <v>87</v>
      </c>
      <c r="C39" s="5">
        <f>=HYPERLINK("https://nusmods.com/modules/AH3204#timetable","Timetable")</f>
      </c>
      <c r="D39" s="5"/>
      <c r="E39" s="5">
        <f>=HYPERLINK("https://luminus.nus.edu.sg/modules/aab54dff-653e-4569-967c-cd15db0808de","LumiNUS course site")</f>
      </c>
      <c r="F39" s="0" t="s">
        <v>73</v>
      </c>
      <c r="G39" s="0" t="s">
        <v>81</v>
      </c>
      <c r="H39" s="3">
        <v>14</v>
      </c>
    </row>
    <row r="40">
      <c r="A40" s="0" t="s">
        <v>88</v>
      </c>
      <c r="B40" s="0" t="s">
        <v>89</v>
      </c>
      <c r="C40" s="5">
        <f>=HYPERLINK("https://nusmods.com/modules/ALS1010#timetable","Timetable")</f>
      </c>
      <c r="D40" s="5">
        <f>=HYPERLINK("https://canvas.nus.edu.sg/courses/22928","Canvas course site")</f>
      </c>
      <c r="E40" s="5"/>
      <c r="F40" s="0" t="s">
        <v>90</v>
      </c>
      <c r="G40" s="0" t="s">
        <v>91</v>
      </c>
      <c r="H40" s="3">
        <v>678</v>
      </c>
    </row>
    <row r="41">
      <c r="A41" s="0" t="s">
        <v>92</v>
      </c>
      <c r="B41" s="0" t="s">
        <v>93</v>
      </c>
      <c r="C41" s="5">
        <f>=HYPERLINK("https://nusmods.com/modules/AN1101E#timetable","Timetable")</f>
      </c>
      <c r="D41" s="5"/>
      <c r="E41" s="5">
        <f>=HYPERLINK("https://luminus.nus.edu.sg/modules/a681b10d-9e6b-4561-94d7-0fa5381ed203","LumiNUS course site")</f>
      </c>
      <c r="F41" s="0" t="s">
        <v>73</v>
      </c>
      <c r="G41" s="0" t="s">
        <v>94</v>
      </c>
      <c r="H41" s="3">
        <v>52</v>
      </c>
    </row>
    <row r="42">
      <c r="A42" s="0" t="s">
        <v>95</v>
      </c>
      <c r="B42" s="0" t="s">
        <v>96</v>
      </c>
      <c r="C42" s="5">
        <f>=HYPERLINK("https://nusmods.com/modules/AR1101#timetable","Timetable")</f>
      </c>
      <c r="D42" s="5"/>
      <c r="E42" s="5">
        <f>=HYPERLINK("https://luminus.nus.edu.sg/modules/cdcec571-7b84-4103-b5ae-a1e7fbb14989","LumiNUS course site")</f>
      </c>
      <c r="F42" s="0" t="s">
        <v>10</v>
      </c>
      <c r="G42" s="0" t="s">
        <v>11</v>
      </c>
      <c r="H42" s="3">
        <v>89</v>
      </c>
    </row>
    <row r="43">
      <c r="A43" s="0" t="s">
        <v>97</v>
      </c>
      <c r="B43" s="0" t="s">
        <v>98</v>
      </c>
      <c r="C43" s="5">
        <f>=HYPERLINK("https://nusmods.com/modules/AR2101#timetable","Timetable")</f>
      </c>
      <c r="D43" s="5"/>
      <c r="E43" s="5">
        <f>=HYPERLINK("https://luminus.nus.edu.sg/modules/e146432d-2f3b-4c26-a3dc-97de4ec1209d","LumiNUS course site")</f>
      </c>
      <c r="F43" s="0" t="s">
        <v>10</v>
      </c>
      <c r="G43" s="0" t="s">
        <v>11</v>
      </c>
      <c r="H43" s="3">
        <v>150</v>
      </c>
    </row>
    <row r="44">
      <c r="A44" s="0" t="s">
        <v>99</v>
      </c>
      <c r="B44" s="0" t="s">
        <v>100</v>
      </c>
      <c r="C44" s="5">
        <f>=HYPERLINK("https://nusmods.com/modules/AR2225#timetable","Timetable")</f>
      </c>
      <c r="D44" s="5"/>
      <c r="E44" s="5">
        <f>=HYPERLINK("https://luminus.nus.edu.sg/modules/e8231f4a-02cd-4818-8772-2989a9b0bfcc","LumiNUS course site")</f>
      </c>
      <c r="F44" s="0" t="s">
        <v>10</v>
      </c>
      <c r="G44" s="0" t="s">
        <v>11</v>
      </c>
      <c r="H44" s="3">
        <v>17</v>
      </c>
    </row>
    <row r="45">
      <c r="A45" s="0" t="s">
        <v>101</v>
      </c>
      <c r="B45" s="0" t="s">
        <v>102</v>
      </c>
      <c r="C45" s="5">
        <f>=HYPERLINK("https://nusmods.com/modules/AR2228#timetable","Timetable")</f>
      </c>
      <c r="D45" s="5"/>
      <c r="E45" s="5">
        <f>=HYPERLINK("https://luminus.nus.edu.sg/modules/13608fb5-5e9f-4569-bc63-dc64a95c279b","LumiNUS course site")</f>
      </c>
      <c r="F45" s="0" t="s">
        <v>10</v>
      </c>
      <c r="G45" s="0" t="s">
        <v>11</v>
      </c>
      <c r="H45" s="3">
        <v>144</v>
      </c>
    </row>
    <row r="46">
      <c r="A46" s="0" t="s">
        <v>103</v>
      </c>
      <c r="B46" s="0" t="s">
        <v>104</v>
      </c>
      <c r="C46" s="5">
        <f>=HYPERLINK("https://nusmods.com/modules/AR2328#timetable","Timetable")</f>
      </c>
      <c r="D46" s="5"/>
      <c r="E46" s="5">
        <f>=HYPERLINK("https://luminus.nus.edu.sg/modules/4f7ff0bf-dfc5-479f-a1b7-b86fec05a078","LumiNUS course site")</f>
      </c>
      <c r="F46" s="0" t="s">
        <v>10</v>
      </c>
      <c r="G46" s="0" t="s">
        <v>11</v>
      </c>
      <c r="H46" s="3">
        <v>153</v>
      </c>
    </row>
    <row r="47">
      <c r="A47" s="0" t="s">
        <v>105</v>
      </c>
      <c r="B47" s="0" t="s">
        <v>106</v>
      </c>
      <c r="C47" s="5">
        <f>=HYPERLINK("https://nusmods.com/modules/AR2522#timetable","Timetable")</f>
      </c>
      <c r="D47" s="5"/>
      <c r="E47" s="5"/>
      <c r="F47" s="0" t="s">
        <v>10</v>
      </c>
      <c r="G47" s="0" t="s">
        <v>11</v>
      </c>
      <c r="H47" s="3">
        <v>0</v>
      </c>
    </row>
    <row r="48">
      <c r="A48" s="0" t="s">
        <v>107</v>
      </c>
      <c r="B48" s="0" t="s">
        <v>108</v>
      </c>
      <c r="C48" s="5">
        <f>=HYPERLINK("https://nusmods.com/modules/AR3101#timetable","Timetable")</f>
      </c>
      <c r="D48" s="5"/>
      <c r="E48" s="5">
        <f>=HYPERLINK("https://luminus.nus.edu.sg/modules/7194d0c3-925b-461b-8076-5b5e76b6099f","LumiNUS course site")</f>
      </c>
      <c r="F48" s="0" t="s">
        <v>10</v>
      </c>
      <c r="G48" s="0" t="s">
        <v>11</v>
      </c>
      <c r="H48" s="3">
        <v>113</v>
      </c>
    </row>
    <row r="49">
      <c r="A49" s="0" t="s">
        <v>109</v>
      </c>
      <c r="B49" s="0" t="s">
        <v>110</v>
      </c>
      <c r="C49" s="5">
        <f>=HYPERLINK("https://nusmods.com/modules/AR3223#timetable","Timetable")</f>
      </c>
      <c r="D49" s="5"/>
      <c r="E49" s="5">
        <f>=HYPERLINK("https://luminus.nus.edu.sg/modules/faf448d7-2f39-4091-97bc-233161cd9aee","LumiNUS course site")</f>
      </c>
      <c r="F49" s="0" t="s">
        <v>10</v>
      </c>
      <c r="G49" s="0" t="s">
        <v>11</v>
      </c>
      <c r="H49" s="3">
        <v>112</v>
      </c>
    </row>
    <row r="50">
      <c r="A50" s="0" t="s">
        <v>111</v>
      </c>
      <c r="B50" s="0" t="s">
        <v>112</v>
      </c>
      <c r="C50" s="5">
        <f>=HYPERLINK("https://nusmods.com/modules/AR3412#timetable","Timetable")</f>
      </c>
      <c r="D50" s="5"/>
      <c r="E50" s="5"/>
      <c r="F50" s="0" t="s">
        <v>10</v>
      </c>
      <c r="G50" s="0" t="s">
        <v>11</v>
      </c>
      <c r="H50" s="3">
        <v>0</v>
      </c>
    </row>
    <row r="51">
      <c r="A51" s="0" t="s">
        <v>113</v>
      </c>
      <c r="B51" s="0" t="s">
        <v>114</v>
      </c>
      <c r="C51" s="5">
        <f>=HYPERLINK("https://nusmods.com/modules/AR3721#timetable","Timetable")</f>
      </c>
      <c r="D51" s="5"/>
      <c r="E51" s="5"/>
      <c r="F51" s="0" t="s">
        <v>10</v>
      </c>
      <c r="G51" s="0" t="s">
        <v>11</v>
      </c>
      <c r="H51" s="3">
        <v>0</v>
      </c>
    </row>
    <row r="52">
      <c r="A52" s="0" t="s">
        <v>115</v>
      </c>
      <c r="B52" s="0" t="s">
        <v>116</v>
      </c>
      <c r="C52" s="5">
        <f>=HYPERLINK("https://nusmods.com/modules/AR4421#timetable","Timetable")</f>
      </c>
      <c r="D52" s="5"/>
      <c r="E52" s="5">
        <f>=HYPERLINK("https://luminus.nus.edu.sg/modules/4675e4cc-89c3-4090-815b-b9532830a61c","LumiNUS course site")</f>
      </c>
      <c r="F52" s="0" t="s">
        <v>10</v>
      </c>
      <c r="G52" s="0" t="s">
        <v>11</v>
      </c>
      <c r="H52" s="3">
        <v>53</v>
      </c>
    </row>
    <row r="53">
      <c r="A53" s="0" t="s">
        <v>117</v>
      </c>
      <c r="B53" s="0" t="s">
        <v>118</v>
      </c>
      <c r="C53" s="5">
        <f>=HYPERLINK("https://nusmods.com/modules/AR4955#timetable","Timetable")</f>
      </c>
      <c r="D53" s="5"/>
      <c r="E53" s="5"/>
      <c r="F53" s="0" t="s">
        <v>10</v>
      </c>
      <c r="G53" s="0" t="s">
        <v>11</v>
      </c>
      <c r="H53" s="3">
        <v>0</v>
      </c>
    </row>
    <row r="54">
      <c r="A54" s="0" t="s">
        <v>119</v>
      </c>
      <c r="B54" s="0" t="s">
        <v>120</v>
      </c>
      <c r="C54" s="5">
        <f>=HYPERLINK("https://nusmods.com/modules/AR5011#timetable","Timetable")</f>
      </c>
      <c r="D54" s="5"/>
      <c r="E54" s="5"/>
      <c r="F54" s="0" t="s">
        <v>10</v>
      </c>
      <c r="G54" s="0" t="s">
        <v>11</v>
      </c>
      <c r="H54" s="3">
        <v>20</v>
      </c>
    </row>
    <row r="55">
      <c r="A55" s="0" t="s">
        <v>121</v>
      </c>
      <c r="B55" s="0" t="s">
        <v>122</v>
      </c>
      <c r="C55" s="5">
        <f>=HYPERLINK("https://nusmods.com/modules/AR5121#timetable","Timetable")</f>
      </c>
      <c r="D55" s="5"/>
      <c r="E55" s="5"/>
      <c r="F55" s="0" t="s">
        <v>10</v>
      </c>
      <c r="G55" s="0" t="s">
        <v>11</v>
      </c>
      <c r="H55" s="3">
        <v>0</v>
      </c>
    </row>
    <row r="56">
      <c r="A56" s="0" t="s">
        <v>123</v>
      </c>
      <c r="B56" s="0" t="s">
        <v>124</v>
      </c>
      <c r="C56" s="5">
        <f>=HYPERLINK("https://nusmods.com/modules/AR5221#timetable","Timetable")</f>
      </c>
      <c r="D56" s="5"/>
      <c r="E56" s="5">
        <f>=HYPERLINK("https://luminus.nus.edu.sg/modules/c9a826a5-79ae-48a9-ae76-d5373d5ff2f4","LumiNUS course site")</f>
      </c>
      <c r="F56" s="0" t="s">
        <v>10</v>
      </c>
      <c r="G56" s="0" t="s">
        <v>11</v>
      </c>
      <c r="H56" s="3">
        <v>54</v>
      </c>
    </row>
    <row r="57">
      <c r="A57" s="0" t="s">
        <v>125</v>
      </c>
      <c r="B57" s="0" t="s">
        <v>126</v>
      </c>
      <c r="C57" s="5">
        <f>=HYPERLINK("https://nusmods.com/modules/AR5321#timetable","Timetable")</f>
      </c>
      <c r="D57" s="5"/>
      <c r="E57" s="5">
        <f>=HYPERLINK("https://luminus.nus.edu.sg/modules/3ece5e1e-d2db-4869-87c9-f404429fb5f0","LumiNUS course site")</f>
      </c>
      <c r="F57" s="0" t="s">
        <v>10</v>
      </c>
      <c r="G57" s="0" t="s">
        <v>11</v>
      </c>
      <c r="H57" s="3">
        <v>134</v>
      </c>
    </row>
    <row r="58">
      <c r="A58" s="0" t="s">
        <v>127</v>
      </c>
      <c r="B58" s="0" t="s">
        <v>128</v>
      </c>
      <c r="C58" s="5">
        <f>=HYPERLINK("https://nusmods.com/modules/AR5423#timetable","Timetable")</f>
      </c>
      <c r="D58" s="5"/>
      <c r="E58" s="5">
        <f>=HYPERLINK("https://luminus.nus.edu.sg/modules/8f4129fc-0659-4969-94e2-f30477f20326","LumiNUS course site")</f>
      </c>
      <c r="F58" s="0" t="s">
        <v>10</v>
      </c>
      <c r="G58" s="0" t="s">
        <v>11</v>
      </c>
      <c r="H58" s="3">
        <v>96</v>
      </c>
    </row>
    <row r="59">
      <c r="A59" s="0" t="s">
        <v>129</v>
      </c>
      <c r="B59" s="0" t="s">
        <v>130</v>
      </c>
      <c r="C59" s="5">
        <f>=HYPERLINK("https://nusmods.com/modules/AR5601#timetable","Timetable")</f>
      </c>
      <c r="D59" s="5"/>
      <c r="E59" s="5">
        <f>=HYPERLINK("https://luminus.nus.edu.sg/modules/e3e8401c-19af-40b3-a622-2649bdf5f2f6","LumiNUS course site")</f>
      </c>
      <c r="F59" s="0" t="s">
        <v>10</v>
      </c>
      <c r="G59" s="0" t="s">
        <v>11</v>
      </c>
      <c r="H59" s="3">
        <v>76</v>
      </c>
    </row>
    <row r="60">
      <c r="A60" s="0" t="s">
        <v>131</v>
      </c>
      <c r="B60" s="0" t="s">
        <v>132</v>
      </c>
      <c r="C60" s="5">
        <f>=HYPERLINK("https://nusmods.com/modules/AR5770#timetable","Timetable")</f>
      </c>
      <c r="D60" s="5"/>
      <c r="E60" s="5"/>
      <c r="F60" s="0" t="s">
        <v>10</v>
      </c>
      <c r="G60" s="0" t="s">
        <v>11</v>
      </c>
      <c r="H60" s="3">
        <v>0</v>
      </c>
    </row>
    <row r="61">
      <c r="A61" s="0" t="s">
        <v>133</v>
      </c>
      <c r="B61" s="0" t="s">
        <v>134</v>
      </c>
      <c r="C61" s="5">
        <f>=HYPERLINK("https://nusmods.com/modules/AR5801#timetable","Timetable")</f>
      </c>
      <c r="D61" s="5"/>
      <c r="E61" s="5">
        <f>=HYPERLINK("https://luminus.nus.edu.sg/modules/2b6df8d4-62dc-4e3a-a7d8-9d53315b2494","LumiNUS course site")</f>
      </c>
      <c r="F61" s="0" t="s">
        <v>10</v>
      </c>
      <c r="G61" s="0" t="s">
        <v>11</v>
      </c>
      <c r="H61" s="3">
        <v>102</v>
      </c>
    </row>
    <row r="62">
      <c r="A62" s="0" t="s">
        <v>135</v>
      </c>
      <c r="B62" s="0" t="s">
        <v>136</v>
      </c>
      <c r="C62" s="5">
        <f>=HYPERLINK("https://nusmods.com/modules/AR5802#timetable","Timetable")</f>
      </c>
      <c r="D62" s="5"/>
      <c r="E62" s="5"/>
      <c r="F62" s="0" t="s">
        <v>10</v>
      </c>
      <c r="G62" s="0" t="s">
        <v>11</v>
      </c>
      <c r="H62" s="3">
        <v>0</v>
      </c>
    </row>
    <row r="63">
      <c r="A63" s="0" t="s">
        <v>137</v>
      </c>
      <c r="B63" s="0" t="s">
        <v>138</v>
      </c>
      <c r="C63" s="5">
        <f>=HYPERLINK("https://nusmods.com/modules/AR5803#timetable","Timetable")</f>
      </c>
      <c r="D63" s="5"/>
      <c r="E63" s="5"/>
      <c r="F63" s="0" t="s">
        <v>10</v>
      </c>
      <c r="G63" s="0" t="s">
        <v>11</v>
      </c>
      <c r="H63" s="3">
        <v>0</v>
      </c>
    </row>
    <row r="64">
      <c r="A64" s="0" t="s">
        <v>139</v>
      </c>
      <c r="B64" s="0" t="s">
        <v>140</v>
      </c>
      <c r="C64" s="5">
        <f>=HYPERLINK("https://nusmods.com/modules/AR5805#timetable","Timetable")</f>
      </c>
      <c r="D64" s="5"/>
      <c r="E64" s="5">
        <f>=HYPERLINK("https://luminus.nus.edu.sg/modules/746a34c6-d571-49e0-a4c3-8d35a2d18dbb","LumiNUS course site")</f>
      </c>
      <c r="F64" s="0" t="s">
        <v>10</v>
      </c>
      <c r="G64" s="0" t="s">
        <v>11</v>
      </c>
      <c r="H64" s="3">
        <v>129</v>
      </c>
    </row>
    <row r="65">
      <c r="A65" s="0" t="s">
        <v>141</v>
      </c>
      <c r="B65" s="0" t="s">
        <v>142</v>
      </c>
      <c r="C65" s="5">
        <f>=HYPERLINK("https://nusmods.com/modules/AR5806#timetable","Timetable")</f>
      </c>
      <c r="D65" s="5"/>
      <c r="E65" s="5">
        <f>=HYPERLINK("https://luminus.nus.edu.sg/modules/30e68e0c-9bc1-4b15-82d3-4f84fd645766","LumiNUS course site")</f>
      </c>
      <c r="F65" s="0" t="s">
        <v>10</v>
      </c>
      <c r="G65" s="0" t="s">
        <v>11</v>
      </c>
      <c r="H65" s="3">
        <v>130</v>
      </c>
    </row>
    <row r="66">
      <c r="A66" s="0" t="s">
        <v>143</v>
      </c>
      <c r="B66" s="0" t="s">
        <v>144</v>
      </c>
      <c r="C66" s="5">
        <f>=HYPERLINK("https://nusmods.com/modules/AR5807#timetable","Timetable")</f>
      </c>
      <c r="D66" s="5"/>
      <c r="E66" s="5"/>
      <c r="F66" s="0" t="s">
        <v>10</v>
      </c>
      <c r="G66" s="0" t="s">
        <v>11</v>
      </c>
      <c r="H66" s="3">
        <v>0</v>
      </c>
    </row>
    <row r="67">
      <c r="A67" s="0" t="s">
        <v>145</v>
      </c>
      <c r="B67" s="0" t="s">
        <v>146</v>
      </c>
      <c r="C67" s="5">
        <f>=HYPERLINK("https://nusmods.com/modules/AR5952B#timetable","Timetable")</f>
      </c>
      <c r="D67" s="5"/>
      <c r="E67" s="5"/>
      <c r="F67" s="0" t="s">
        <v>10</v>
      </c>
      <c r="G67" s="0" t="s">
        <v>11</v>
      </c>
      <c r="H67" s="3">
        <v>0</v>
      </c>
    </row>
    <row r="68">
      <c r="A68" s="0" t="s">
        <v>147</v>
      </c>
      <c r="B68" s="0" t="s">
        <v>148</v>
      </c>
      <c r="C68" s="5">
        <f>=HYPERLINK("https://nusmods.com/modules/AR5954A#timetable","Timetable")</f>
      </c>
      <c r="D68" s="5"/>
      <c r="E68" s="5">
        <f>=HYPERLINK("https://luminus.nus.edu.sg/modules/641334b6-87cf-4c58-b052-89b5c08c6b77","LumiNUS course site")</f>
      </c>
      <c r="F68" s="0" t="s">
        <v>10</v>
      </c>
      <c r="G68" s="0" t="s">
        <v>11</v>
      </c>
      <c r="H68" s="3">
        <v>27</v>
      </c>
    </row>
    <row r="69">
      <c r="A69" s="0" t="s">
        <v>149</v>
      </c>
      <c r="B69" s="0" t="s">
        <v>150</v>
      </c>
      <c r="C69" s="5">
        <f>=HYPERLINK("https://nusmods.com/modules/AR5955#timetable","Timetable")</f>
      </c>
      <c r="D69" s="5"/>
      <c r="E69" s="5">
        <f>=HYPERLINK("https://luminus.nus.edu.sg/modules/f9bbf1f9-42b2-415b-ad94-ab92a2f93ad5","LumiNUS course site")</f>
      </c>
      <c r="F69" s="0" t="s">
        <v>10</v>
      </c>
      <c r="G69" s="0" t="s">
        <v>11</v>
      </c>
      <c r="H69" s="3">
        <v>0</v>
      </c>
    </row>
    <row r="70">
      <c r="A70" s="0" t="s">
        <v>151</v>
      </c>
      <c r="B70" s="0" t="s">
        <v>152</v>
      </c>
      <c r="C70" s="5">
        <f>=HYPERLINK("https://nusmods.com/modules/AR5955A#timetable","Timetable")</f>
      </c>
      <c r="D70" s="5"/>
      <c r="E70" s="5">
        <f>=HYPERLINK("https://luminus.nus.edu.sg/modules/f9bbf1f9-42b2-415b-ad94-ab92a2f93ad5","LumiNUS course site")</f>
      </c>
      <c r="F70" s="0" t="s">
        <v>10</v>
      </c>
      <c r="G70" s="0" t="s">
        <v>11</v>
      </c>
      <c r="H70" s="3">
        <v>24</v>
      </c>
    </row>
    <row r="71">
      <c r="A71" s="0" t="s">
        <v>153</v>
      </c>
      <c r="B71" s="0" t="s">
        <v>154</v>
      </c>
      <c r="C71" s="5">
        <f>=HYPERLINK("https://nusmods.com/modules/AR5955B#timetable","Timetable")</f>
      </c>
      <c r="D71" s="5"/>
      <c r="E71" s="5"/>
      <c r="F71" s="0" t="s">
        <v>10</v>
      </c>
      <c r="G71" s="0" t="s">
        <v>11</v>
      </c>
      <c r="H71" s="3">
        <v>0</v>
      </c>
    </row>
    <row r="72">
      <c r="A72" s="0" t="s">
        <v>155</v>
      </c>
      <c r="B72" s="0" t="s">
        <v>156</v>
      </c>
      <c r="C72" s="5">
        <f>=HYPERLINK("https://nusmods.com/modules/AR5955D#timetable","Timetable")</f>
      </c>
      <c r="D72" s="5"/>
      <c r="E72" s="5"/>
      <c r="F72" s="0" t="s">
        <v>10</v>
      </c>
      <c r="G72" s="0" t="s">
        <v>11</v>
      </c>
      <c r="H72" s="3">
        <v>0</v>
      </c>
    </row>
    <row r="73">
      <c r="A73" s="0" t="s">
        <v>157</v>
      </c>
      <c r="B73" s="0" t="s">
        <v>158</v>
      </c>
      <c r="C73" s="5">
        <f>=HYPERLINK("https://nusmods.com/modules/AR5955E#timetable","Timetable")</f>
      </c>
      <c r="D73" s="5"/>
      <c r="E73" s="5"/>
      <c r="F73" s="0" t="s">
        <v>10</v>
      </c>
      <c r="G73" s="0" t="s">
        <v>11</v>
      </c>
      <c r="H73" s="3">
        <v>0</v>
      </c>
    </row>
    <row r="74">
      <c r="A74" s="0" t="s">
        <v>159</v>
      </c>
      <c r="B74" s="0" t="s">
        <v>160</v>
      </c>
      <c r="C74" s="5">
        <f>=HYPERLINK("https://nusmods.com/modules/AR5955F#timetable","Timetable")</f>
      </c>
      <c r="D74" s="5"/>
      <c r="E74" s="5"/>
      <c r="F74" s="0" t="s">
        <v>10</v>
      </c>
      <c r="G74" s="0" t="s">
        <v>11</v>
      </c>
      <c r="H74" s="3">
        <v>0</v>
      </c>
    </row>
    <row r="75">
      <c r="A75" s="0" t="s">
        <v>161</v>
      </c>
      <c r="B75" s="0" t="s">
        <v>162</v>
      </c>
      <c r="C75" s="5">
        <f>=HYPERLINK("https://nusmods.com/modules/AR5956A#timetable","Timetable")</f>
      </c>
      <c r="D75" s="5"/>
      <c r="E75" s="5"/>
      <c r="F75" s="0" t="s">
        <v>10</v>
      </c>
      <c r="G75" s="0" t="s">
        <v>11</v>
      </c>
      <c r="H75" s="3">
        <v>4</v>
      </c>
    </row>
    <row r="76">
      <c r="A76" s="0" t="s">
        <v>163</v>
      </c>
      <c r="B76" s="0" t="s">
        <v>164</v>
      </c>
      <c r="C76" s="5">
        <f>=HYPERLINK("https://nusmods.com/modules/AR5956B#timetable","Timetable")</f>
      </c>
      <c r="D76" s="5"/>
      <c r="E76" s="5"/>
      <c r="F76" s="0" t="s">
        <v>10</v>
      </c>
      <c r="G76" s="0" t="s">
        <v>11</v>
      </c>
      <c r="H76" s="3">
        <v>8</v>
      </c>
    </row>
    <row r="77">
      <c r="A77" s="0" t="s">
        <v>165</v>
      </c>
      <c r="B77" s="0" t="s">
        <v>166</v>
      </c>
      <c r="C77" s="5">
        <f>=HYPERLINK("https://nusmods.com/modules/AR5956C#timetable","Timetable")</f>
      </c>
      <c r="D77" s="5"/>
      <c r="E77" s="5"/>
      <c r="F77" s="0" t="s">
        <v>10</v>
      </c>
      <c r="G77" s="0" t="s">
        <v>11</v>
      </c>
      <c r="H77" s="3">
        <v>4</v>
      </c>
    </row>
    <row r="78">
      <c r="A78" s="0" t="s">
        <v>167</v>
      </c>
      <c r="B78" s="0" t="s">
        <v>168</v>
      </c>
      <c r="C78" s="5">
        <f>=HYPERLINK("https://nusmods.com/modules/AR5956D#timetable","Timetable")</f>
      </c>
      <c r="D78" s="5"/>
      <c r="E78" s="5"/>
      <c r="F78" s="0" t="s">
        <v>10</v>
      </c>
      <c r="G78" s="0" t="s">
        <v>11</v>
      </c>
      <c r="H78" s="3">
        <v>1</v>
      </c>
    </row>
    <row r="79">
      <c r="A79" s="0" t="s">
        <v>169</v>
      </c>
      <c r="B79" s="0" t="s">
        <v>170</v>
      </c>
      <c r="C79" s="5">
        <f>=HYPERLINK("https://nusmods.com/modules/AR5956E#timetable","Timetable")</f>
      </c>
      <c r="D79" s="5"/>
      <c r="E79" s="5"/>
      <c r="F79" s="0" t="s">
        <v>10</v>
      </c>
      <c r="G79" s="0" t="s">
        <v>11</v>
      </c>
      <c r="H79" s="3">
        <v>0</v>
      </c>
    </row>
    <row r="80">
      <c r="A80" s="0" t="s">
        <v>171</v>
      </c>
      <c r="B80" s="0" t="s">
        <v>172</v>
      </c>
      <c r="C80" s="5">
        <f>=HYPERLINK("https://nusmods.com/modules/AR5957A#timetable","Timetable")</f>
      </c>
      <c r="D80" s="5"/>
      <c r="E80" s="5">
        <f>=HYPERLINK("https://luminus.nus.edu.sg/modules/c6597b22-8cec-4f83-96e8-358340c839b8","LumiNUS course site")</f>
      </c>
      <c r="F80" s="0" t="s">
        <v>10</v>
      </c>
      <c r="G80" s="0" t="s">
        <v>11</v>
      </c>
      <c r="H80" s="3">
        <v>18</v>
      </c>
    </row>
    <row r="81">
      <c r="A81" s="0" t="s">
        <v>173</v>
      </c>
      <c r="B81" s="0" t="s">
        <v>174</v>
      </c>
      <c r="C81" s="5">
        <f>=HYPERLINK("https://nusmods.com/modules/AR5957B#timetable","Timetable")</f>
      </c>
      <c r="D81" s="5"/>
      <c r="E81" s="5">
        <f>=HYPERLINK("https://luminus.nus.edu.sg/modules/82da6fea-1853-4a57-afbd-0840037fe5be","LumiNUS course site")</f>
      </c>
      <c r="F81" s="0" t="s">
        <v>10</v>
      </c>
      <c r="G81" s="0" t="s">
        <v>11</v>
      </c>
      <c r="H81" s="3">
        <v>13</v>
      </c>
    </row>
    <row r="82">
      <c r="A82" s="0" t="s">
        <v>175</v>
      </c>
      <c r="B82" s="0" t="s">
        <v>176</v>
      </c>
      <c r="C82" s="5">
        <f>=HYPERLINK("https://nusmods.com/modules/AR5957D#timetable","Timetable")</f>
      </c>
      <c r="D82" s="5"/>
      <c r="E82" s="5">
        <f>=HYPERLINK("https://luminus.nus.edu.sg/modules/a402e008-73bf-40ec-b0ca-7510435b5629","LumiNUS course site")</f>
      </c>
      <c r="F82" s="0" t="s">
        <v>10</v>
      </c>
      <c r="G82" s="0" t="s">
        <v>11</v>
      </c>
      <c r="H82" s="3">
        <v>32</v>
      </c>
    </row>
    <row r="83">
      <c r="A83" s="0" t="s">
        <v>177</v>
      </c>
      <c r="B83" s="0" t="s">
        <v>178</v>
      </c>
      <c r="C83" s="5">
        <f>=HYPERLINK("https://nusmods.com/modules/AR5957E#timetable","Timetable")</f>
      </c>
      <c r="D83" s="5"/>
      <c r="E83" s="5">
        <f>=HYPERLINK("https://luminus.nus.edu.sg/modules/1ae01070-356b-4f62-85eb-625a9418f6e9","LumiNUS course site")</f>
      </c>
      <c r="F83" s="0" t="s">
        <v>10</v>
      </c>
      <c r="G83" s="0" t="s">
        <v>11</v>
      </c>
      <c r="H83" s="3">
        <v>17</v>
      </c>
    </row>
    <row r="84">
      <c r="A84" s="0" t="s">
        <v>179</v>
      </c>
      <c r="B84" s="0" t="s">
        <v>180</v>
      </c>
      <c r="C84" s="5">
        <f>=HYPERLINK("https://nusmods.com/modules/AR5957F#timetable","Timetable")</f>
      </c>
      <c r="D84" s="5"/>
      <c r="E84" s="5">
        <f>=HYPERLINK("https://luminus.nus.edu.sg/modules/26b83f31-58b4-4342-a1f7-50d3c3584c54","LumiNUS course site")</f>
      </c>
      <c r="F84" s="0" t="s">
        <v>10</v>
      </c>
      <c r="G84" s="0" t="s">
        <v>11</v>
      </c>
      <c r="H84" s="3">
        <v>21</v>
      </c>
    </row>
    <row r="85">
      <c r="A85" s="0" t="s">
        <v>181</v>
      </c>
      <c r="B85" s="0" t="s">
        <v>182</v>
      </c>
      <c r="C85" s="5">
        <f>=HYPERLINK("https://nusmods.com/modules/AR5957G#timetable","Timetable")</f>
      </c>
      <c r="D85" s="5"/>
      <c r="E85" s="5">
        <f>=HYPERLINK("https://luminus.nus.edu.sg/modules/eb25d91b-4274-4691-bb55-82c4a9242dab","LumiNUS course site")</f>
      </c>
      <c r="F85" s="0" t="s">
        <v>10</v>
      </c>
      <c r="G85" s="0" t="s">
        <v>11</v>
      </c>
      <c r="H85" s="3">
        <v>20</v>
      </c>
    </row>
    <row r="86">
      <c r="A86" s="0" t="s">
        <v>183</v>
      </c>
      <c r="B86" s="0" t="s">
        <v>184</v>
      </c>
      <c r="C86" s="5">
        <f>=HYPERLINK("https://nusmods.com/modules/AR5958A#timetable","Timetable")</f>
      </c>
      <c r="D86" s="5"/>
      <c r="E86" s="5">
        <f>=HYPERLINK("https://luminus.nus.edu.sg/modules/a9dcb17f-a3e0-4463-b826-004f48017694","LumiNUS course site")</f>
      </c>
      <c r="F86" s="0" t="s">
        <v>10</v>
      </c>
      <c r="G86" s="0" t="s">
        <v>11</v>
      </c>
      <c r="H86" s="3">
        <v>32</v>
      </c>
    </row>
    <row r="87">
      <c r="A87" s="0" t="s">
        <v>185</v>
      </c>
      <c r="B87" s="0" t="s">
        <v>146</v>
      </c>
      <c r="C87" s="5">
        <f>=HYPERLINK("https://nusmods.com/modules/AR5958B#timetable","Timetable")</f>
      </c>
      <c r="D87" s="5"/>
      <c r="E87" s="5">
        <f>=HYPERLINK("https://luminus.nus.edu.sg/modules/d02a75a1-ad56-4d04-a500-ca2fb0b44940","LumiNUS course site")</f>
      </c>
      <c r="F87" s="0" t="s">
        <v>10</v>
      </c>
      <c r="G87" s="0" t="s">
        <v>11</v>
      </c>
      <c r="H87" s="3">
        <v>21</v>
      </c>
    </row>
    <row r="88">
      <c r="A88" s="0" t="s">
        <v>186</v>
      </c>
      <c r="B88" s="0" t="s">
        <v>187</v>
      </c>
      <c r="C88" s="5">
        <f>=HYPERLINK("https://nusmods.com/modules/AR5958C#timetable","Timetable")</f>
      </c>
      <c r="D88" s="5">
        <f>=HYPERLINK("https://canvas.nus.edu.sg/courses/23171","Canvas course site")</f>
      </c>
      <c r="E88" s="5">
        <f>=HYPERLINK("https://luminus.nus.edu.sg/modules/011d3824-cf03-49a3-936e-1e44299a6bb0","LumiNUS course site")</f>
      </c>
      <c r="F88" s="0" t="s">
        <v>10</v>
      </c>
      <c r="G88" s="0" t="s">
        <v>11</v>
      </c>
      <c r="H88" s="3">
        <v>19</v>
      </c>
    </row>
    <row r="89">
      <c r="A89" s="0" t="s">
        <v>188</v>
      </c>
      <c r="B89" s="0" t="s">
        <v>189</v>
      </c>
      <c r="C89" s="5">
        <f>=HYPERLINK("https://nusmods.com/modules/AR5958D#timetable","Timetable")</f>
      </c>
      <c r="D89" s="5"/>
      <c r="E89" s="5">
        <f>=HYPERLINK("https://luminus.nus.edu.sg/modules/7f221d44-4d9a-4062-99cd-ea9f79a5b620","LumiNUS course site")</f>
      </c>
      <c r="F89" s="0" t="s">
        <v>10</v>
      </c>
      <c r="G89" s="0" t="s">
        <v>11</v>
      </c>
      <c r="H89" s="3">
        <v>23</v>
      </c>
    </row>
    <row r="90">
      <c r="A90" s="0" t="s">
        <v>190</v>
      </c>
      <c r="B90" s="0" t="s">
        <v>191</v>
      </c>
      <c r="C90" s="5">
        <f>=HYPERLINK("https://nusmods.com/modules/AR5958E#timetable","Timetable")</f>
      </c>
      <c r="D90" s="5"/>
      <c r="E90" s="5"/>
      <c r="F90" s="0" t="s">
        <v>10</v>
      </c>
      <c r="G90" s="0" t="s">
        <v>11</v>
      </c>
      <c r="H90" s="3">
        <v>0</v>
      </c>
    </row>
    <row r="91">
      <c r="A91" s="0" t="s">
        <v>192</v>
      </c>
      <c r="B91" s="0" t="s">
        <v>193</v>
      </c>
      <c r="C91" s="5">
        <f>=HYPERLINK("https://nusmods.com/modules/AR5958F#timetable","Timetable")</f>
      </c>
      <c r="D91" s="5"/>
      <c r="E91" s="5">
        <f>=HYPERLINK("https://luminus.nus.edu.sg/modules/63eb19a3-bc9f-49c8-ba9f-5f4b483cc808","LumiNUS course site")</f>
      </c>
      <c r="F91" s="0" t="s">
        <v>10</v>
      </c>
      <c r="G91" s="0" t="s">
        <v>11</v>
      </c>
      <c r="H91" s="3">
        <v>23</v>
      </c>
    </row>
    <row r="92">
      <c r="A92" s="0" t="s">
        <v>194</v>
      </c>
      <c r="B92" s="0" t="s">
        <v>195</v>
      </c>
      <c r="C92" s="5">
        <f>=HYPERLINK("https://nusmods.com/modules/AR5959A#timetable","Timetable")</f>
      </c>
      <c r="D92" s="5"/>
      <c r="E92" s="5">
        <f>=HYPERLINK("https://luminus.nus.edu.sg/modules/1828864b-6174-4fd9-b675-f03fd06b94d5","LumiNUS course site")</f>
      </c>
      <c r="F92" s="0" t="s">
        <v>10</v>
      </c>
      <c r="G92" s="0" t="s">
        <v>11</v>
      </c>
      <c r="H92" s="3">
        <v>36</v>
      </c>
    </row>
    <row r="93">
      <c r="A93" s="0" t="s">
        <v>196</v>
      </c>
      <c r="B93" s="0" t="s">
        <v>197</v>
      </c>
      <c r="C93" s="5">
        <f>=HYPERLINK("https://nusmods.com/modules/AR5959B#timetable","Timetable")</f>
      </c>
      <c r="D93" s="5"/>
      <c r="E93" s="5">
        <f>=HYPERLINK("https://luminus.nus.edu.sg/modules/02426a7f-f43a-413f-8d06-66d94a75d88a","LumiNUS course site")</f>
      </c>
      <c r="F93" s="0" t="s">
        <v>10</v>
      </c>
      <c r="G93" s="0" t="s">
        <v>11</v>
      </c>
      <c r="H93" s="3">
        <v>26</v>
      </c>
    </row>
    <row r="94">
      <c r="A94" s="0" t="s">
        <v>198</v>
      </c>
      <c r="B94" s="0" t="s">
        <v>199</v>
      </c>
      <c r="C94" s="5">
        <f>=HYPERLINK("https://nusmods.com/modules/AR5959C#timetable","Timetable")</f>
      </c>
      <c r="D94" s="5"/>
      <c r="E94" s="5">
        <f>=HYPERLINK("https://luminus.nus.edu.sg/modules/199e3091-5681-4fb3-bb1c-bf0fd12e254b","LumiNUS course site")</f>
      </c>
      <c r="F94" s="0" t="s">
        <v>10</v>
      </c>
      <c r="G94" s="0" t="s">
        <v>11</v>
      </c>
      <c r="H94" s="3">
        <v>29</v>
      </c>
    </row>
    <row r="95">
      <c r="A95" s="0" t="s">
        <v>200</v>
      </c>
      <c r="B95" s="0" t="s">
        <v>201</v>
      </c>
      <c r="C95" s="5">
        <f>=HYPERLINK("https://nusmods.com/modules/AR5959D#timetable","Timetable")</f>
      </c>
      <c r="D95" s="5"/>
      <c r="E95" s="5"/>
      <c r="F95" s="0" t="s">
        <v>10</v>
      </c>
      <c r="G95" s="0" t="s">
        <v>11</v>
      </c>
      <c r="H95" s="3">
        <v>0</v>
      </c>
    </row>
    <row r="96">
      <c r="A96" s="0" t="s">
        <v>202</v>
      </c>
      <c r="B96" s="0" t="s">
        <v>203</v>
      </c>
      <c r="C96" s="5">
        <f>=HYPERLINK("https://nusmods.com/modules/AR5959E#timetable","Timetable")</f>
      </c>
      <c r="D96" s="5"/>
      <c r="E96" s="5"/>
      <c r="F96" s="0" t="s">
        <v>10</v>
      </c>
      <c r="G96" s="0" t="s">
        <v>11</v>
      </c>
      <c r="H96" s="3">
        <v>0</v>
      </c>
    </row>
    <row r="97">
      <c r="A97" s="0" t="s">
        <v>204</v>
      </c>
      <c r="B97" s="0" t="s">
        <v>205</v>
      </c>
      <c r="C97" s="5">
        <f>=HYPERLINK("https://nusmods.com/modules/AR6770#timetable","Timetable")</f>
      </c>
      <c r="D97" s="5"/>
      <c r="E97" s="5"/>
      <c r="F97" s="0" t="s">
        <v>10</v>
      </c>
      <c r="G97" s="0" t="s">
        <v>11</v>
      </c>
      <c r="H97" s="3">
        <v>1</v>
      </c>
    </row>
    <row r="98">
      <c r="A98" s="0" t="s">
        <v>206</v>
      </c>
      <c r="B98" s="0" t="s">
        <v>207</v>
      </c>
      <c r="C98" s="5">
        <f>=HYPERLINK("https://nusmods.com/modules/AS2237#timetable","Timetable")</f>
      </c>
      <c r="D98" s="5">
        <f>=HYPERLINK("https://canvas.nus.edu.sg/courses/22470","Canvas course site")</f>
      </c>
      <c r="E98" s="5">
        <f>=HYPERLINK("https://luminus.nus.edu.sg/modules/667c50a1-739a-4efa-a7b0-c0502bc795c7","LumiNUS course site")</f>
      </c>
      <c r="F98" s="0" t="s">
        <v>73</v>
      </c>
      <c r="G98" s="0" t="s">
        <v>81</v>
      </c>
      <c r="H98" s="3">
        <v>2</v>
      </c>
    </row>
    <row r="99">
      <c r="A99" s="0" t="s">
        <v>208</v>
      </c>
      <c r="B99" s="0" t="s">
        <v>209</v>
      </c>
      <c r="C99" s="5">
        <f>=HYPERLINK("https://nusmods.com/modules/AUD5114#timetable","Timetable")</f>
      </c>
      <c r="D99" s="5"/>
      <c r="E99" s="5"/>
      <c r="F99" s="0" t="s">
        <v>90</v>
      </c>
      <c r="G99" s="0" t="s">
        <v>210</v>
      </c>
      <c r="H99" s="3">
        <v>8</v>
      </c>
    </row>
    <row r="100">
      <c r="A100" s="0" t="s">
        <v>211</v>
      </c>
      <c r="B100" s="0" t="s">
        <v>212</v>
      </c>
      <c r="C100" s="5">
        <f>=HYPERLINK("https://nusmods.com/modules/AUD5216#timetable","Timetable")</f>
      </c>
      <c r="D100" s="5"/>
      <c r="E100" s="5"/>
      <c r="F100" s="0" t="s">
        <v>90</v>
      </c>
      <c r="G100" s="0" t="s">
        <v>210</v>
      </c>
      <c r="H100" s="3">
        <v>8</v>
      </c>
    </row>
    <row r="101">
      <c r="A101" s="0" t="s">
        <v>213</v>
      </c>
      <c r="B101" s="0" t="s">
        <v>214</v>
      </c>
      <c r="C101" s="5">
        <f>=HYPERLINK("https://nusmods.com/modules/AUD5217#timetable","Timetable")</f>
      </c>
      <c r="D101" s="5"/>
      <c r="E101" s="5"/>
      <c r="F101" s="0" t="s">
        <v>90</v>
      </c>
      <c r="G101" s="0" t="s">
        <v>210</v>
      </c>
      <c r="H101" s="3">
        <v>8</v>
      </c>
    </row>
    <row r="102">
      <c r="A102" s="0" t="s">
        <v>215</v>
      </c>
      <c r="B102" s="0" t="s">
        <v>216</v>
      </c>
      <c r="C102" s="5">
        <f>=HYPERLINK("https://nusmods.com/modules/AUD5218#timetable","Timetable")</f>
      </c>
      <c r="D102" s="5"/>
      <c r="E102" s="5"/>
      <c r="F102" s="0" t="s">
        <v>90</v>
      </c>
      <c r="G102" s="0" t="s">
        <v>210</v>
      </c>
      <c r="H102" s="3">
        <v>8</v>
      </c>
    </row>
    <row r="103">
      <c r="A103" s="0" t="s">
        <v>217</v>
      </c>
      <c r="B103" s="0" t="s">
        <v>218</v>
      </c>
      <c r="C103" s="5">
        <f>=HYPERLINK("https://nusmods.com/modules/AUD5219#timetable","Timetable")</f>
      </c>
      <c r="D103" s="5"/>
      <c r="E103" s="5"/>
      <c r="F103" s="0" t="s">
        <v>90</v>
      </c>
      <c r="G103" s="0" t="s">
        <v>210</v>
      </c>
      <c r="H103" s="3">
        <v>8</v>
      </c>
    </row>
    <row r="104">
      <c r="A104" s="0" t="s">
        <v>219</v>
      </c>
      <c r="B104" s="0" t="s">
        <v>220</v>
      </c>
      <c r="C104" s="5">
        <f>=HYPERLINK("https://nusmods.com/modules/AUD5220#timetable","Timetable")</f>
      </c>
      <c r="D104" s="5"/>
      <c r="E104" s="5"/>
      <c r="F104" s="0" t="s">
        <v>90</v>
      </c>
      <c r="G104" s="0" t="s">
        <v>210</v>
      </c>
      <c r="H104" s="3">
        <v>8</v>
      </c>
    </row>
    <row r="105">
      <c r="A105" s="0" t="s">
        <v>221</v>
      </c>
      <c r="B105" s="0" t="s">
        <v>222</v>
      </c>
      <c r="C105" s="5">
        <f>=HYPERLINK("https://nusmods.com/modules/BAA6002#timetable","Timetable")</f>
      </c>
      <c r="D105" s="5"/>
      <c r="E105" s="5"/>
      <c r="F105" s="0" t="s">
        <v>28</v>
      </c>
      <c r="G105" s="0" t="s">
        <v>29</v>
      </c>
      <c r="H105" s="3">
        <v>11</v>
      </c>
    </row>
    <row r="106">
      <c r="A106" s="0" t="s">
        <v>223</v>
      </c>
      <c r="B106" s="0" t="s">
        <v>224</v>
      </c>
      <c r="C106" s="5">
        <f>=HYPERLINK("https://nusmods.com/modules/BBP6781#timetable","Timetable")</f>
      </c>
      <c r="D106" s="5"/>
      <c r="E106" s="5"/>
      <c r="F106" s="0" t="s">
        <v>28</v>
      </c>
      <c r="G106" s="0" t="s">
        <v>225</v>
      </c>
      <c r="H106" s="3">
        <v>9</v>
      </c>
    </row>
    <row r="107">
      <c r="A107" s="0" t="s">
        <v>226</v>
      </c>
      <c r="B107" s="0" t="s">
        <v>227</v>
      </c>
      <c r="C107" s="5">
        <f>=HYPERLINK("https://nusmods.com/modules/BDC6112#timetable","Timetable")</f>
      </c>
      <c r="D107" s="5"/>
      <c r="E107" s="5">
        <f>=HYPERLINK("https://luminus.nus.edu.sg/modules/40435733-e085-40e9-8fd9-e0668bd230a5","LumiNUS course site")</f>
      </c>
      <c r="F107" s="0" t="s">
        <v>28</v>
      </c>
      <c r="G107" s="0" t="s">
        <v>228</v>
      </c>
      <c r="H107" s="3">
        <v>20</v>
      </c>
    </row>
    <row r="108">
      <c r="A108" s="0" t="s">
        <v>229</v>
      </c>
      <c r="B108" s="0" t="s">
        <v>230</v>
      </c>
      <c r="C108" s="5">
        <f>=HYPERLINK("https://nusmods.com/modules/BDC6113#timetable","Timetable")</f>
      </c>
      <c r="D108" s="5"/>
      <c r="E108" s="5">
        <f>=HYPERLINK("https://luminus.nus.edu.sg/modules/9ca0dbc4-354e-452b-b16b-8c05870875ee","LumiNUS course site")</f>
      </c>
      <c r="F108" s="0" t="s">
        <v>28</v>
      </c>
      <c r="G108" s="0" t="s">
        <v>228</v>
      </c>
      <c r="H108" s="3">
        <v>37</v>
      </c>
    </row>
    <row r="109">
      <c r="A109" s="0" t="s">
        <v>231</v>
      </c>
      <c r="B109" s="0" t="s">
        <v>232</v>
      </c>
      <c r="C109" s="5">
        <f>=HYPERLINK("https://nusmods.com/modules/BHD4001#timetable","Timetable")</f>
      </c>
      <c r="D109" s="5"/>
      <c r="E109" s="5"/>
      <c r="F109" s="0" t="s">
        <v>28</v>
      </c>
      <c r="G109" s="0" t="s">
        <v>233</v>
      </c>
      <c r="H109" s="3">
        <v>3</v>
      </c>
    </row>
    <row r="110">
      <c r="A110" s="0" t="s">
        <v>234</v>
      </c>
      <c r="B110" s="0" t="s">
        <v>235</v>
      </c>
      <c r="C110" s="5">
        <f>=HYPERLINK("https://nusmods.com/modules/BI3001A#timetable","Timetable")</f>
      </c>
      <c r="D110" s="5"/>
      <c r="E110" s="5"/>
      <c r="F110" s="0" t="s">
        <v>28</v>
      </c>
      <c r="G110" s="0" t="s">
        <v>233</v>
      </c>
      <c r="H110" s="3">
        <v>0</v>
      </c>
    </row>
    <row r="111">
      <c r="A111" s="0" t="s">
        <v>236</v>
      </c>
      <c r="B111" s="0" t="s">
        <v>235</v>
      </c>
      <c r="C111" s="5">
        <f>=HYPERLINK("https://nusmods.com/modules/BI3001B#timetable","Timetable")</f>
      </c>
      <c r="D111" s="5"/>
      <c r="E111" s="5"/>
      <c r="F111" s="0" t="s">
        <v>28</v>
      </c>
      <c r="G111" s="0" t="s">
        <v>233</v>
      </c>
      <c r="H111" s="3">
        <v>0</v>
      </c>
    </row>
    <row r="112">
      <c r="A112" s="0" t="s">
        <v>237</v>
      </c>
      <c r="B112" s="0" t="s">
        <v>235</v>
      </c>
      <c r="C112" s="5">
        <f>=HYPERLINK("https://nusmods.com/modules/BI3001C#timetable","Timetable")</f>
      </c>
      <c r="D112" s="5"/>
      <c r="E112" s="5"/>
      <c r="F112" s="0" t="s">
        <v>28</v>
      </c>
      <c r="G112" s="0" t="s">
        <v>233</v>
      </c>
      <c r="H112" s="3">
        <v>0</v>
      </c>
    </row>
    <row r="113">
      <c r="A113" s="0" t="s">
        <v>238</v>
      </c>
      <c r="B113" s="0" t="s">
        <v>239</v>
      </c>
      <c r="C113" s="5">
        <f>=HYPERLINK("https://nusmods.com/modules/BI3002A#timetable","Timetable")</f>
      </c>
      <c r="D113" s="5"/>
      <c r="E113" s="5"/>
      <c r="F113" s="0" t="s">
        <v>28</v>
      </c>
      <c r="G113" s="0" t="s">
        <v>233</v>
      </c>
      <c r="H113" s="3">
        <v>0</v>
      </c>
    </row>
    <row r="114">
      <c r="A114" s="0" t="s">
        <v>240</v>
      </c>
      <c r="B114" s="0" t="s">
        <v>239</v>
      </c>
      <c r="C114" s="5">
        <f>=HYPERLINK("https://nusmods.com/modules/BI3002B#timetable","Timetable")</f>
      </c>
      <c r="D114" s="5"/>
      <c r="E114" s="5"/>
      <c r="F114" s="0" t="s">
        <v>28</v>
      </c>
      <c r="G114" s="0" t="s">
        <v>233</v>
      </c>
      <c r="H114" s="3">
        <v>0</v>
      </c>
    </row>
    <row r="115">
      <c r="A115" s="0" t="s">
        <v>241</v>
      </c>
      <c r="B115" s="0" t="s">
        <v>112</v>
      </c>
      <c r="C115" s="5">
        <f>=HYPERLINK("https://nusmods.com/modules/BI3003#timetable","Timetable")</f>
      </c>
      <c r="D115" s="5"/>
      <c r="E115" s="5"/>
      <c r="F115" s="0" t="s">
        <v>28</v>
      </c>
      <c r="G115" s="0" t="s">
        <v>233</v>
      </c>
      <c r="H115" s="3">
        <v>0</v>
      </c>
    </row>
    <row r="116">
      <c r="A116" s="0" t="s">
        <v>242</v>
      </c>
      <c r="B116" s="0" t="s">
        <v>112</v>
      </c>
      <c r="C116" s="5">
        <f>=HYPERLINK("https://nusmods.com/modules/BI3003A#timetable","Timetable")</f>
      </c>
      <c r="D116" s="5"/>
      <c r="E116" s="5"/>
      <c r="F116" s="0" t="s">
        <v>28</v>
      </c>
      <c r="G116" s="0" t="s">
        <v>233</v>
      </c>
      <c r="H116" s="3">
        <v>0</v>
      </c>
    </row>
    <row r="117">
      <c r="A117" s="0" t="s">
        <v>243</v>
      </c>
      <c r="B117" s="0" t="s">
        <v>112</v>
      </c>
      <c r="C117" s="5">
        <f>=HYPERLINK("https://nusmods.com/modules/BI3003B#timetable","Timetable")</f>
      </c>
      <c r="D117" s="5"/>
      <c r="E117" s="5"/>
      <c r="F117" s="0" t="s">
        <v>28</v>
      </c>
      <c r="G117" s="0" t="s">
        <v>233</v>
      </c>
      <c r="H117" s="3">
        <v>0</v>
      </c>
    </row>
    <row r="118">
      <c r="A118" s="0" t="s">
        <v>244</v>
      </c>
      <c r="B118" s="0" t="s">
        <v>112</v>
      </c>
      <c r="C118" s="5">
        <f>=HYPERLINK("https://nusmods.com/modules/BI3003C#timetable","Timetable")</f>
      </c>
      <c r="D118" s="5"/>
      <c r="E118" s="5"/>
      <c r="F118" s="0" t="s">
        <v>28</v>
      </c>
      <c r="G118" s="0" t="s">
        <v>233</v>
      </c>
      <c r="H118" s="3">
        <v>0</v>
      </c>
    </row>
    <row r="119">
      <c r="A119" s="0" t="s">
        <v>245</v>
      </c>
      <c r="B119" s="0" t="s">
        <v>112</v>
      </c>
      <c r="C119" s="5">
        <f>=HYPERLINK("https://nusmods.com/modules/BI3003D#timetable","Timetable")</f>
      </c>
      <c r="D119" s="5"/>
      <c r="E119" s="5"/>
      <c r="F119" s="0" t="s">
        <v>28</v>
      </c>
      <c r="G119" s="0" t="s">
        <v>233</v>
      </c>
      <c r="H119" s="3">
        <v>0</v>
      </c>
    </row>
    <row r="120">
      <c r="A120" s="0" t="s">
        <v>246</v>
      </c>
      <c r="B120" s="0" t="s">
        <v>235</v>
      </c>
      <c r="C120" s="5">
        <f>=HYPERLINK("https://nusmods.com/modules/BI3704A#timetable","Timetable")</f>
      </c>
      <c r="D120" s="5"/>
      <c r="E120" s="5"/>
      <c r="F120" s="0" t="s">
        <v>28</v>
      </c>
      <c r="G120" s="0" t="s">
        <v>233</v>
      </c>
      <c r="H120" s="3">
        <v>0</v>
      </c>
    </row>
    <row r="121">
      <c r="A121" s="0" t="s">
        <v>247</v>
      </c>
      <c r="B121" s="0" t="s">
        <v>235</v>
      </c>
      <c r="C121" s="5">
        <f>=HYPERLINK("https://nusmods.com/modules/BI3704B#timetable","Timetable")</f>
      </c>
      <c r="D121" s="5"/>
      <c r="E121" s="5"/>
      <c r="F121" s="0" t="s">
        <v>28</v>
      </c>
      <c r="G121" s="0" t="s">
        <v>233</v>
      </c>
      <c r="H121" s="3">
        <v>1</v>
      </c>
    </row>
    <row r="122">
      <c r="A122" s="0" t="s">
        <v>248</v>
      </c>
      <c r="B122" s="0" t="s">
        <v>235</v>
      </c>
      <c r="C122" s="5">
        <f>=HYPERLINK("https://nusmods.com/modules/BI3704C#timetable","Timetable")</f>
      </c>
      <c r="D122" s="5"/>
      <c r="E122" s="5"/>
      <c r="F122" s="0" t="s">
        <v>28</v>
      </c>
      <c r="G122" s="0" t="s">
        <v>233</v>
      </c>
      <c r="H122" s="3">
        <v>2</v>
      </c>
    </row>
    <row r="123">
      <c r="A123" s="0" t="s">
        <v>249</v>
      </c>
      <c r="B123" s="0" t="s">
        <v>235</v>
      </c>
      <c r="C123" s="5">
        <f>=HYPERLINK("https://nusmods.com/modules/BI3704D#timetable","Timetable")</f>
      </c>
      <c r="D123" s="5"/>
      <c r="E123" s="5"/>
      <c r="F123" s="0" t="s">
        <v>28</v>
      </c>
      <c r="G123" s="0" t="s">
        <v>233</v>
      </c>
      <c r="H123" s="3">
        <v>0</v>
      </c>
    </row>
    <row r="124">
      <c r="A124" s="0" t="s">
        <v>250</v>
      </c>
      <c r="B124" s="0" t="s">
        <v>235</v>
      </c>
      <c r="C124" s="5">
        <f>=HYPERLINK("https://nusmods.com/modules/BI3704R#timetable","Timetable")</f>
      </c>
      <c r="D124" s="5"/>
      <c r="E124" s="5"/>
      <c r="F124" s="0" t="s">
        <v>28</v>
      </c>
      <c r="G124" s="0" t="s">
        <v>233</v>
      </c>
      <c r="H124" s="3">
        <v>0</v>
      </c>
    </row>
    <row r="125">
      <c r="A125" s="0" t="s">
        <v>251</v>
      </c>
      <c r="B125" s="0" t="s">
        <v>239</v>
      </c>
      <c r="C125" s="5">
        <f>=HYPERLINK("https://nusmods.com/modules/BI3708A#timetable","Timetable")</f>
      </c>
      <c r="D125" s="5"/>
      <c r="E125" s="5"/>
      <c r="F125" s="0" t="s">
        <v>28</v>
      </c>
      <c r="G125" s="0" t="s">
        <v>233</v>
      </c>
      <c r="H125" s="3">
        <v>2</v>
      </c>
    </row>
    <row r="126">
      <c r="A126" s="0" t="s">
        <v>252</v>
      </c>
      <c r="B126" s="0" t="s">
        <v>239</v>
      </c>
      <c r="C126" s="5">
        <f>=HYPERLINK("https://nusmods.com/modules/BI3708B#timetable","Timetable")</f>
      </c>
      <c r="D126" s="5"/>
      <c r="E126" s="5"/>
      <c r="F126" s="0" t="s">
        <v>28</v>
      </c>
      <c r="G126" s="0" t="s">
        <v>233</v>
      </c>
      <c r="H126" s="3">
        <v>20</v>
      </c>
    </row>
    <row r="127">
      <c r="A127" s="0" t="s">
        <v>253</v>
      </c>
      <c r="B127" s="0" t="s">
        <v>239</v>
      </c>
      <c r="C127" s="5">
        <f>=HYPERLINK("https://nusmods.com/modules/BI3708R#timetable","Timetable")</f>
      </c>
      <c r="D127" s="5"/>
      <c r="E127" s="5"/>
      <c r="F127" s="0" t="s">
        <v>28</v>
      </c>
      <c r="G127" s="0" t="s">
        <v>233</v>
      </c>
      <c r="H127" s="3">
        <v>0</v>
      </c>
    </row>
    <row r="128">
      <c r="A128" s="0" t="s">
        <v>254</v>
      </c>
      <c r="B128" s="0" t="s">
        <v>255</v>
      </c>
      <c r="C128" s="5">
        <f>=HYPERLINK("https://nusmods.com/modules/BI3712A#timetable","Timetable")</f>
      </c>
      <c r="D128" s="5"/>
      <c r="E128" s="5"/>
      <c r="F128" s="0" t="s">
        <v>28</v>
      </c>
      <c r="G128" s="0" t="s">
        <v>233</v>
      </c>
      <c r="H128" s="3">
        <v>4</v>
      </c>
    </row>
    <row r="129">
      <c r="A129" s="0" t="s">
        <v>256</v>
      </c>
      <c r="B129" s="0" t="s">
        <v>255</v>
      </c>
      <c r="C129" s="5">
        <f>=HYPERLINK("https://nusmods.com/modules/BI3712B#timetable","Timetable")</f>
      </c>
      <c r="D129" s="5"/>
      <c r="E129" s="5"/>
      <c r="F129" s="0" t="s">
        <v>28</v>
      </c>
      <c r="G129" s="0" t="s">
        <v>233</v>
      </c>
      <c r="H129" s="3">
        <v>49</v>
      </c>
    </row>
    <row r="130">
      <c r="A130" s="0" t="s">
        <v>257</v>
      </c>
      <c r="B130" s="0" t="s">
        <v>255</v>
      </c>
      <c r="C130" s="5">
        <f>=HYPERLINK("https://nusmods.com/modules/BI3712R#timetable","Timetable")</f>
      </c>
      <c r="D130" s="5"/>
      <c r="E130" s="5"/>
      <c r="F130" s="0" t="s">
        <v>28</v>
      </c>
      <c r="G130" s="0" t="s">
        <v>233</v>
      </c>
      <c r="H130" s="3">
        <v>0</v>
      </c>
    </row>
    <row r="131">
      <c r="A131" s="0" t="s">
        <v>258</v>
      </c>
      <c r="B131" s="0" t="s">
        <v>259</v>
      </c>
      <c r="C131" s="5">
        <f>=HYPERLINK("https://nusmods.com/modules/BIS3001#timetable","Timetable")</f>
      </c>
      <c r="D131" s="5"/>
      <c r="E131" s="5"/>
      <c r="F131" s="0" t="s">
        <v>28</v>
      </c>
      <c r="G131" s="0" t="s">
        <v>233</v>
      </c>
      <c r="H131" s="3">
        <v>0</v>
      </c>
    </row>
    <row r="132">
      <c r="A132" s="0" t="s">
        <v>260</v>
      </c>
      <c r="B132" s="0" t="s">
        <v>259</v>
      </c>
      <c r="C132" s="5">
        <f>=HYPERLINK("https://nusmods.com/modules/BIS3001A#timetable","Timetable")</f>
      </c>
      <c r="D132" s="5"/>
      <c r="E132" s="5"/>
      <c r="F132" s="0" t="s">
        <v>28</v>
      </c>
      <c r="G132" s="0" t="s">
        <v>233</v>
      </c>
      <c r="H132" s="3">
        <v>0</v>
      </c>
    </row>
    <row r="133">
      <c r="A133" s="0" t="s">
        <v>261</v>
      </c>
      <c r="B133" s="0" t="s">
        <v>262</v>
      </c>
      <c r="C133" s="5">
        <f>=HYPERLINK("https://nusmods.com/modules/BL5102#timetable","Timetable")</f>
      </c>
      <c r="D133" s="5"/>
      <c r="E133" s="5">
        <f>=HYPERLINK("https://luminus.nus.edu.sg/modules/e84aeab3-6ca0-4acf-9007-6130431d5f76","LumiNUS course site")</f>
      </c>
      <c r="F133" s="0" t="s">
        <v>10</v>
      </c>
      <c r="G133" s="0" t="s">
        <v>263</v>
      </c>
      <c r="H133" s="3">
        <v>29</v>
      </c>
    </row>
    <row r="134">
      <c r="A134" s="0" t="s">
        <v>264</v>
      </c>
      <c r="B134" s="0" t="s">
        <v>265</v>
      </c>
      <c r="C134" s="5">
        <f>=HYPERLINK("https://nusmods.com/modules/BL5198#timetable","Timetable")</f>
      </c>
      <c r="D134" s="5"/>
      <c r="E134" s="5">
        <f>=HYPERLINK("https://luminus.nus.edu.sg/modules/2d20f193-ff99-4124-a738-0d5266290fa4","LumiNUS course site")</f>
      </c>
      <c r="F134" s="0" t="s">
        <v>266</v>
      </c>
      <c r="G134" s="0" t="s">
        <v>267</v>
      </c>
      <c r="H134" s="3">
        <v>24</v>
      </c>
    </row>
    <row r="135">
      <c r="A135" s="0" t="s">
        <v>268</v>
      </c>
      <c r="B135" s="0" t="s">
        <v>269</v>
      </c>
      <c r="C135" s="5">
        <f>=HYPERLINK("https://nusmods.com/modules/BL5199#timetable","Timetable")</f>
      </c>
      <c r="D135" s="5">
        <f>=HYPERLINK("https://canvas.nus.edu.sg/courses/23358","Canvas course site")</f>
      </c>
      <c r="E135" s="5"/>
      <c r="F135" s="0" t="s">
        <v>266</v>
      </c>
      <c r="G135" s="0" t="s">
        <v>267</v>
      </c>
      <c r="H135" s="3">
        <v>10</v>
      </c>
    </row>
    <row r="136">
      <c r="A136" s="0" t="s">
        <v>270</v>
      </c>
      <c r="B136" s="0" t="s">
        <v>271</v>
      </c>
      <c r="C136" s="5">
        <f>=HYPERLINK("https://nusmods.com/modules/BL5201#timetable","Timetable")</f>
      </c>
      <c r="D136" s="5"/>
      <c r="E136" s="5">
        <f>=HYPERLINK("https://luminus.nus.edu.sg/modules/662ad6be-a47d-4bc3-8446-b050f9cdf6ea","LumiNUS course site")</f>
      </c>
      <c r="F136" s="0" t="s">
        <v>266</v>
      </c>
      <c r="G136" s="0" t="s">
        <v>267</v>
      </c>
      <c r="H136" s="3">
        <v>9</v>
      </c>
    </row>
    <row r="137">
      <c r="A137" s="0" t="s">
        <v>272</v>
      </c>
      <c r="B137" s="0" t="s">
        <v>273</v>
      </c>
      <c r="C137" s="5">
        <f>=HYPERLINK("https://nusmods.com/modules/BL5207A#timetable","Timetable")</f>
      </c>
      <c r="D137" s="5"/>
      <c r="E137" s="5">
        <f>=HYPERLINK("https://luminus.nus.edu.sg/modules/ff4969aa-0600-4aba-b02d-69cc495b8460","LumiNUS course site")</f>
      </c>
      <c r="F137" s="0" t="s">
        <v>266</v>
      </c>
      <c r="G137" s="0" t="s">
        <v>267</v>
      </c>
      <c r="H137" s="3">
        <v>6</v>
      </c>
    </row>
    <row r="138">
      <c r="A138" s="0" t="s">
        <v>274</v>
      </c>
      <c r="B138" s="0" t="s">
        <v>275</v>
      </c>
      <c r="C138" s="5">
        <f>=HYPERLINK("https://nusmods.com/modules/BL5214#timetable","Timetable")</f>
      </c>
      <c r="D138" s="5">
        <f>=HYPERLINK("https://canvas.nus.edu.sg/courses/23372","Canvas course site")</f>
      </c>
      <c r="E138" s="5"/>
      <c r="F138" s="0" t="s">
        <v>266</v>
      </c>
      <c r="G138" s="0" t="s">
        <v>267</v>
      </c>
      <c r="H138" s="3">
        <v>33</v>
      </c>
    </row>
    <row r="139">
      <c r="A139" s="0" t="s">
        <v>276</v>
      </c>
      <c r="B139" s="0" t="s">
        <v>277</v>
      </c>
      <c r="C139" s="5">
        <f>=HYPERLINK("https://nusmods.com/modules/BL5215#timetable","Timetable")</f>
      </c>
      <c r="D139" s="5"/>
      <c r="E139" s="5">
        <f>=HYPERLINK("https://luminus.nus.edu.sg/modules/d61694c9-4e62-45a4-b2eb-90bf4cd8e96c","LumiNUS course site")</f>
      </c>
      <c r="F139" s="0" t="s">
        <v>266</v>
      </c>
      <c r="G139" s="0" t="s">
        <v>267</v>
      </c>
      <c r="H139" s="3">
        <v>34</v>
      </c>
    </row>
    <row r="140">
      <c r="A140" s="0" t="s">
        <v>278</v>
      </c>
      <c r="B140" s="0" t="s">
        <v>279</v>
      </c>
      <c r="C140" s="5">
        <f>=HYPERLINK("https://nusmods.com/modules/BL5222#timetable","Timetable")</f>
      </c>
      <c r="D140" s="5"/>
      <c r="E140" s="5"/>
      <c r="F140" s="0" t="s">
        <v>266</v>
      </c>
      <c r="G140" s="0" t="s">
        <v>267</v>
      </c>
      <c r="H140" s="3">
        <v>6</v>
      </c>
    </row>
    <row r="141">
      <c r="A141" s="0" t="s">
        <v>280</v>
      </c>
      <c r="B141" s="0" t="s">
        <v>281</v>
      </c>
      <c r="C141" s="5">
        <f>=HYPERLINK("https://nusmods.com/modules/BL5223#timetable","Timetable")</f>
      </c>
      <c r="D141" s="5"/>
      <c r="E141" s="5"/>
      <c r="F141" s="0" t="s">
        <v>266</v>
      </c>
      <c r="G141" s="0" t="s">
        <v>267</v>
      </c>
      <c r="H141" s="3">
        <v>21</v>
      </c>
    </row>
    <row r="142">
      <c r="A142" s="0" t="s">
        <v>282</v>
      </c>
      <c r="B142" s="0" t="s">
        <v>283</v>
      </c>
      <c r="C142" s="5">
        <f>=HYPERLINK("https://nusmods.com/modules/BL5228#timetable","Timetable")</f>
      </c>
      <c r="D142" s="5"/>
      <c r="E142" s="5">
        <f>=HYPERLINK("https://luminus.nus.edu.sg/modules/b29e2bc5-1db6-4479-a5fa-44194c08295f","LumiNUS course site")</f>
      </c>
      <c r="F142" s="0" t="s">
        <v>266</v>
      </c>
      <c r="G142" s="0" t="s">
        <v>267</v>
      </c>
      <c r="H142" s="3">
        <v>10</v>
      </c>
    </row>
    <row r="143">
      <c r="A143" s="0" t="s">
        <v>284</v>
      </c>
      <c r="B143" s="0" t="s">
        <v>285</v>
      </c>
      <c r="C143" s="5">
        <f>=HYPERLINK("https://nusmods.com/modules/BL5229#timetable","Timetable")</f>
      </c>
      <c r="D143" s="5">
        <f>=HYPERLINK("https://canvas.nus.edu.sg/courses/23392","Canvas course site")</f>
      </c>
      <c r="E143" s="5"/>
      <c r="F143" s="0" t="s">
        <v>266</v>
      </c>
      <c r="G143" s="0" t="s">
        <v>267</v>
      </c>
      <c r="H143" s="3">
        <v>5</v>
      </c>
    </row>
    <row r="144">
      <c r="A144" s="0" t="s">
        <v>286</v>
      </c>
      <c r="B144" s="0" t="s">
        <v>287</v>
      </c>
      <c r="C144" s="5">
        <f>=HYPERLINK("https://nusmods.com/modules/BL5230#timetable","Timetable")</f>
      </c>
      <c r="D144" s="5"/>
      <c r="E144" s="5">
        <f>=HYPERLINK("https://luminus.nus.edu.sg/modules/3327ce06-44a9-4ef6-9c2d-a9bbc4056e64","LumiNUS course site")</f>
      </c>
      <c r="F144" s="0" t="s">
        <v>266</v>
      </c>
      <c r="G144" s="0" t="s">
        <v>267</v>
      </c>
      <c r="H144" s="3">
        <v>11</v>
      </c>
    </row>
    <row r="145">
      <c r="A145" s="0" t="s">
        <v>288</v>
      </c>
      <c r="B145" s="0" t="s">
        <v>289</v>
      </c>
      <c r="C145" s="5">
        <f>=HYPERLINK("https://nusmods.com/modules/BL5232#timetable","Timetable")</f>
      </c>
      <c r="D145" s="5"/>
      <c r="E145" s="5">
        <f>=HYPERLINK("https://luminus.nus.edu.sg/modules/6ac0dcc4-38b6-4125-bcc0-80d15c65415c","LumiNUS course site")</f>
      </c>
      <c r="F145" s="0" t="s">
        <v>266</v>
      </c>
      <c r="G145" s="0" t="s">
        <v>267</v>
      </c>
      <c r="H145" s="3">
        <v>27</v>
      </c>
    </row>
    <row r="146">
      <c r="A146" s="0" t="s">
        <v>290</v>
      </c>
      <c r="B146" s="0" t="s">
        <v>291</v>
      </c>
      <c r="C146" s="5">
        <f>=HYPERLINK("https://nusmods.com/modules/BL5233#timetable","Timetable")</f>
      </c>
      <c r="D146" s="5">
        <f>=HYPERLINK("https://canvas.nus.edu.sg/courses/23407","Canvas course site")</f>
      </c>
      <c r="E146" s="5"/>
      <c r="F146" s="0" t="s">
        <v>266</v>
      </c>
      <c r="G146" s="0" t="s">
        <v>267</v>
      </c>
      <c r="H146" s="3">
        <v>41</v>
      </c>
    </row>
    <row r="147">
      <c r="A147" s="0" t="s">
        <v>292</v>
      </c>
      <c r="B147" s="0" t="s">
        <v>293</v>
      </c>
      <c r="C147" s="5">
        <f>=HYPERLINK("https://nusmods.com/modules/BL5236#timetable","Timetable")</f>
      </c>
      <c r="D147" s="5"/>
      <c r="E147" s="5">
        <f>=HYPERLINK("https://luminus.nus.edu.sg/modules/66c48201-a439-404b-97c7-b7133544e9f0","LumiNUS course site")</f>
      </c>
      <c r="F147" s="0" t="s">
        <v>266</v>
      </c>
      <c r="G147" s="0" t="s">
        <v>267</v>
      </c>
      <c r="H147" s="3">
        <v>3</v>
      </c>
    </row>
    <row r="148">
      <c r="A148" s="0" t="s">
        <v>294</v>
      </c>
      <c r="B148" s="0" t="s">
        <v>295</v>
      </c>
      <c r="C148" s="5">
        <f>=HYPERLINK("https://nusmods.com/modules/BL5239#timetable","Timetable")</f>
      </c>
      <c r="D148" s="5"/>
      <c r="E148" s="5">
        <f>=HYPERLINK("https://luminus.nus.edu.sg/modules/877b60bd-f50f-4374-b7c9-456d261ed3dc","LumiNUS course site")</f>
      </c>
      <c r="F148" s="0" t="s">
        <v>266</v>
      </c>
      <c r="G148" s="0" t="s">
        <v>267</v>
      </c>
      <c r="H148" s="3">
        <v>6</v>
      </c>
    </row>
    <row r="149">
      <c r="A149" s="0" t="s">
        <v>296</v>
      </c>
      <c r="B149" s="0" t="s">
        <v>297</v>
      </c>
      <c r="C149" s="5">
        <f>=HYPERLINK("https://nusmods.com/modules/BL5299#timetable","Timetable")</f>
      </c>
      <c r="D149" s="5">
        <f>=HYPERLINK("https://canvas.nus.edu.sg/courses/23428","Canvas course site")</f>
      </c>
      <c r="E149" s="5"/>
      <c r="F149" s="0" t="s">
        <v>266</v>
      </c>
      <c r="G149" s="0" t="s">
        <v>267</v>
      </c>
      <c r="H149" s="3">
        <v>3</v>
      </c>
    </row>
    <row r="150">
      <c r="A150" s="0" t="s">
        <v>298</v>
      </c>
      <c r="B150" s="0" t="s">
        <v>299</v>
      </c>
      <c r="C150" s="5">
        <f>=HYPERLINK("https://nusmods.com/modules/BL5301#timetable","Timetable")</f>
      </c>
      <c r="D150" s="5">
        <f>=HYPERLINK("https://canvas.nus.edu.sg/courses/23433","Canvas course site")</f>
      </c>
      <c r="E150" s="5"/>
      <c r="F150" s="0" t="s">
        <v>266</v>
      </c>
      <c r="G150" s="0" t="s">
        <v>267</v>
      </c>
      <c r="H150" s="3">
        <v>44</v>
      </c>
    </row>
    <row r="151">
      <c r="A151" s="0" t="s">
        <v>300</v>
      </c>
      <c r="B151" s="0" t="s">
        <v>301</v>
      </c>
      <c r="C151" s="5">
        <f>=HYPERLINK("https://nusmods.com/modules/BL5311#timetable","Timetable")</f>
      </c>
      <c r="D151" s="5">
        <f>=HYPERLINK("https://canvas.nus.edu.sg/courses/23436","Canvas course site")</f>
      </c>
      <c r="E151" s="5"/>
      <c r="F151" s="0" t="s">
        <v>266</v>
      </c>
      <c r="G151" s="0" t="s">
        <v>267</v>
      </c>
      <c r="H151" s="3">
        <v>31</v>
      </c>
    </row>
    <row r="152">
      <c r="A152" s="0" t="s">
        <v>302</v>
      </c>
      <c r="B152" s="0" t="s">
        <v>303</v>
      </c>
      <c r="C152" s="5">
        <f>=HYPERLINK("https://nusmods.com/modules/BL5322#timetable","Timetable")</f>
      </c>
      <c r="D152" s="5"/>
      <c r="E152" s="5">
        <f>=HYPERLINK("https://luminus.nus.edu.sg/modules/2a8fb7e1-2816-48f1-a18a-881f202f1659","LumiNUS course site")</f>
      </c>
      <c r="F152" s="0" t="s">
        <v>266</v>
      </c>
      <c r="G152" s="0" t="s">
        <v>267</v>
      </c>
      <c r="H152" s="3">
        <v>21</v>
      </c>
    </row>
    <row r="153">
      <c r="A153" s="0" t="s">
        <v>304</v>
      </c>
      <c r="B153" s="0" t="s">
        <v>305</v>
      </c>
      <c r="C153" s="5">
        <f>=HYPERLINK("https://nusmods.com/modules/BL5324#timetable","Timetable")</f>
      </c>
      <c r="D153" s="5">
        <f>=HYPERLINK("https://canvas.nus.edu.sg/courses/27156","Canvas course site")</f>
      </c>
      <c r="E153" s="5"/>
      <c r="F153" s="0" t="s">
        <v>266</v>
      </c>
      <c r="G153" s="0" t="s">
        <v>267</v>
      </c>
      <c r="H153" s="3">
        <v>18</v>
      </c>
    </row>
    <row r="154">
      <c r="A154" s="0" t="s">
        <v>306</v>
      </c>
      <c r="B154" s="0" t="s">
        <v>307</v>
      </c>
      <c r="C154" s="5">
        <f>=HYPERLINK("https://nusmods.com/modules/BL5601#timetable","Timetable")</f>
      </c>
      <c r="D154" s="5">
        <f>=HYPERLINK("https://canvas.nus.edu.sg/courses/23446","Canvas course site")</f>
      </c>
      <c r="E154" s="5"/>
      <c r="F154" s="0" t="s">
        <v>266</v>
      </c>
      <c r="G154" s="0" t="s">
        <v>267</v>
      </c>
      <c r="H154" s="3">
        <v>58</v>
      </c>
    </row>
    <row r="155">
      <c r="A155" s="0" t="s">
        <v>308</v>
      </c>
      <c r="B155" s="0" t="s">
        <v>309</v>
      </c>
      <c r="C155" s="5">
        <f>=HYPERLINK("https://nusmods.com/modules/BL5602#timetable","Timetable")</f>
      </c>
      <c r="D155" s="5"/>
      <c r="E155" s="5">
        <f>=HYPERLINK("https://luminus.nus.edu.sg/modules/9a3dc228-b34c-4d78-8937-716fe941feba","LumiNUS course site")</f>
      </c>
      <c r="F155" s="0" t="s">
        <v>266</v>
      </c>
      <c r="G155" s="0" t="s">
        <v>267</v>
      </c>
      <c r="H155" s="3">
        <v>77</v>
      </c>
    </row>
    <row r="156">
      <c r="A156" s="0" t="s">
        <v>310</v>
      </c>
      <c r="B156" s="0" t="s">
        <v>311</v>
      </c>
      <c r="C156" s="5">
        <f>=HYPERLINK("https://nusmods.com/modules/BL5631#timetable","Timetable")</f>
      </c>
      <c r="D156" s="5">
        <f>=HYPERLINK("https://canvas.nus.edu.sg/courses/22399","Canvas course site")</f>
      </c>
      <c r="E156" s="5">
        <f>=HYPERLINK("https://luminus.nus.edu.sg/modules/32767523-151b-451b-b0ad-fdb82bdae086","LumiNUS course site")</f>
      </c>
      <c r="F156" s="0" t="s">
        <v>266</v>
      </c>
      <c r="G156" s="0" t="s">
        <v>267</v>
      </c>
      <c r="H156" s="3">
        <v>57</v>
      </c>
    </row>
    <row r="157">
      <c r="A157" s="0" t="s">
        <v>312</v>
      </c>
      <c r="B157" s="0" t="s">
        <v>313</v>
      </c>
      <c r="C157" s="5">
        <f>=HYPERLINK("https://nusmods.com/modules/BL5661#timetable","Timetable")</f>
      </c>
      <c r="D157" s="5"/>
      <c r="E157" s="5">
        <f>=HYPERLINK("https://luminus.nus.edu.sg/modules/ee25bdc6-7ef2-42da-a804-08348d003c75","LumiNUS course site")</f>
      </c>
      <c r="F157" s="0" t="s">
        <v>266</v>
      </c>
      <c r="G157" s="0" t="s">
        <v>267</v>
      </c>
      <c r="H157" s="3">
        <v>46</v>
      </c>
    </row>
    <row r="158">
      <c r="A158" s="0" t="s">
        <v>314</v>
      </c>
      <c r="B158" s="0" t="s">
        <v>315</v>
      </c>
      <c r="C158" s="5">
        <f>=HYPERLINK("https://nusmods.com/modules/BL5699#timetable","Timetable")</f>
      </c>
      <c r="D158" s="5">
        <f>=HYPERLINK("https://canvas.nus.edu.sg/courses/23462","Canvas course site")</f>
      </c>
      <c r="E158" s="5"/>
      <c r="F158" s="0" t="s">
        <v>266</v>
      </c>
      <c r="G158" s="0" t="s">
        <v>267</v>
      </c>
      <c r="H158" s="3">
        <v>63</v>
      </c>
    </row>
    <row r="159">
      <c r="A159" s="0" t="s">
        <v>316</v>
      </c>
      <c r="B159" s="0" t="s">
        <v>317</v>
      </c>
      <c r="C159" s="5">
        <f>=HYPERLINK("https://nusmods.com/modules/BLD3002#timetable","Timetable")</f>
      </c>
      <c r="D159" s="5"/>
      <c r="E159" s="5"/>
      <c r="F159" s="0" t="s">
        <v>28</v>
      </c>
      <c r="G159" s="0" t="s">
        <v>233</v>
      </c>
      <c r="H159" s="3">
        <v>0</v>
      </c>
    </row>
    <row r="160">
      <c r="A160" s="0" t="s">
        <v>318</v>
      </c>
      <c r="B160" s="0" t="s">
        <v>319</v>
      </c>
      <c r="C160" s="5">
        <f>=HYPERLINK("https://nusmods.com/modules/BLD3003#timetable","Timetable")</f>
      </c>
      <c r="D160" s="5"/>
      <c r="E160" s="5"/>
      <c r="F160" s="0" t="s">
        <v>28</v>
      </c>
      <c r="G160" s="0" t="s">
        <v>233</v>
      </c>
      <c r="H160" s="3">
        <v>0</v>
      </c>
    </row>
    <row r="161">
      <c r="A161" s="0" t="s">
        <v>320</v>
      </c>
      <c r="B161" s="0" t="s">
        <v>321</v>
      </c>
      <c r="C161" s="5">
        <f>=HYPERLINK("https://nusmods.com/modules/BLD3004#timetable","Timetable")</f>
      </c>
      <c r="D161" s="5"/>
      <c r="E161" s="5"/>
      <c r="F161" s="0" t="s">
        <v>28</v>
      </c>
      <c r="G161" s="0" t="s">
        <v>233</v>
      </c>
      <c r="H161" s="3">
        <v>0</v>
      </c>
    </row>
    <row r="162">
      <c r="A162" s="0" t="s">
        <v>322</v>
      </c>
      <c r="B162" s="0" t="s">
        <v>323</v>
      </c>
      <c r="C162" s="5">
        <f>=HYPERLINK("https://nusmods.com/modules/BMA5001#timetable","Timetable")</f>
      </c>
      <c r="D162" s="5"/>
      <c r="E162" s="5">
        <f>=HYPERLINK("https://luminus.nus.edu.sg/modules/c1bdd036-9b56-4b66-986a-dd3e5140cd95","LumiNUS course site")</f>
      </c>
      <c r="F162" s="0" t="s">
        <v>28</v>
      </c>
      <c r="G162" s="0" t="s">
        <v>233</v>
      </c>
      <c r="H162" s="3">
        <v>98</v>
      </c>
    </row>
    <row r="163">
      <c r="A163" s="0" t="s">
        <v>324</v>
      </c>
      <c r="B163" s="0" t="s">
        <v>325</v>
      </c>
      <c r="C163" s="5">
        <f>=HYPERLINK("https://nusmods.com/modules/BMA5003#timetable","Timetable")</f>
      </c>
      <c r="D163" s="5"/>
      <c r="E163" s="5">
        <f>=HYPERLINK("https://luminus.nus.edu.sg/modules/714f634f-4869-4806-b469-80ae07810804","LumiNUS course site")</f>
      </c>
      <c r="F163" s="0" t="s">
        <v>28</v>
      </c>
      <c r="G163" s="0" t="s">
        <v>233</v>
      </c>
      <c r="H163" s="3">
        <v>208</v>
      </c>
    </row>
    <row r="164">
      <c r="A164" s="0" t="s">
        <v>326</v>
      </c>
      <c r="B164" s="0" t="s">
        <v>327</v>
      </c>
      <c r="C164" s="5">
        <f>=HYPERLINK("https://nusmods.com/modules/BMA5008#timetable","Timetable")</f>
      </c>
      <c r="D164" s="5"/>
      <c r="E164" s="5">
        <f>=HYPERLINK("https://luminus.nus.edu.sg/modules/af0485ab-c0a5-4ed4-9b31-a10b33594ad5","LumiNUS course site")</f>
      </c>
      <c r="F164" s="0" t="s">
        <v>28</v>
      </c>
      <c r="G164" s="0" t="s">
        <v>233</v>
      </c>
      <c r="H164" s="3">
        <v>215</v>
      </c>
    </row>
    <row r="165">
      <c r="A165" s="0" t="s">
        <v>328</v>
      </c>
      <c r="B165" s="0" t="s">
        <v>329</v>
      </c>
      <c r="C165" s="5">
        <f>=HYPERLINK("https://nusmods.com/modules/BMA5013#timetable","Timetable")</f>
      </c>
      <c r="D165" s="5">
        <f>=HYPERLINK("https://canvas.nus.edu.sg/courses/23499","Canvas course site")</f>
      </c>
      <c r="E165" s="5"/>
      <c r="F165" s="0" t="s">
        <v>28</v>
      </c>
      <c r="G165" s="0" t="s">
        <v>233</v>
      </c>
      <c r="H165" s="3">
        <v>40</v>
      </c>
    </row>
    <row r="166">
      <c r="A166" s="0" t="s">
        <v>330</v>
      </c>
      <c r="B166" s="0" t="s">
        <v>331</v>
      </c>
      <c r="C166" s="5">
        <f>=HYPERLINK("https://nusmods.com/modules/BMA5016#timetable","Timetable")</f>
      </c>
      <c r="D166" s="5">
        <f>=HYPERLINK("https://canvas.nus.edu.sg/courses/23504","Canvas course site")</f>
      </c>
      <c r="E166" s="5"/>
      <c r="F166" s="0" t="s">
        <v>28</v>
      </c>
      <c r="G166" s="0" t="s">
        <v>233</v>
      </c>
      <c r="H166" s="3">
        <v>76</v>
      </c>
    </row>
    <row r="167">
      <c r="A167" s="0" t="s">
        <v>332</v>
      </c>
      <c r="B167" s="0" t="s">
        <v>333</v>
      </c>
      <c r="C167" s="5">
        <f>=HYPERLINK("https://nusmods.com/modules/BMA5017#timetable","Timetable")</f>
      </c>
      <c r="D167" s="5"/>
      <c r="E167" s="5">
        <f>=HYPERLINK("https://luminus.nus.edu.sg/modules/4378a9d5-ce56-4282-86eb-76da3d165f1e","LumiNUS course site")</f>
      </c>
      <c r="F167" s="0" t="s">
        <v>28</v>
      </c>
      <c r="G167" s="0" t="s">
        <v>233</v>
      </c>
      <c r="H167" s="3">
        <v>104</v>
      </c>
    </row>
    <row r="168">
      <c r="A168" s="0" t="s">
        <v>334</v>
      </c>
      <c r="B168" s="0" t="s">
        <v>335</v>
      </c>
      <c r="C168" s="5">
        <f>=HYPERLINK("https://nusmods.com/modules/BMA5104#timetable","Timetable")</f>
      </c>
      <c r="D168" s="5">
        <f>=HYPERLINK("https://canvas.nus.edu.sg/courses/23516","Canvas course site")</f>
      </c>
      <c r="E168" s="5"/>
      <c r="F168" s="0" t="s">
        <v>28</v>
      </c>
      <c r="G168" s="0" t="s">
        <v>233</v>
      </c>
      <c r="H168" s="3">
        <v>41</v>
      </c>
    </row>
    <row r="169">
      <c r="A169" s="0" t="s">
        <v>336</v>
      </c>
      <c r="B169" s="0" t="s">
        <v>337</v>
      </c>
      <c r="C169" s="5">
        <f>=HYPERLINK("https://nusmods.com/modules/BMA5130#timetable","Timetable")</f>
      </c>
      <c r="D169" s="5"/>
      <c r="E169" s="5"/>
      <c r="F169" s="0" t="s">
        <v>28</v>
      </c>
      <c r="G169" s="0" t="s">
        <v>233</v>
      </c>
      <c r="H169" s="3">
        <v>0</v>
      </c>
    </row>
    <row r="170">
      <c r="A170" s="0" t="s">
        <v>338</v>
      </c>
      <c r="B170" s="0" t="s">
        <v>339</v>
      </c>
      <c r="C170" s="5">
        <f>=HYPERLINK("https://nusmods.com/modules/BMA5132#timetable","Timetable")</f>
      </c>
      <c r="D170" s="5">
        <f>=HYPERLINK("https://canvas.nus.edu.sg/courses/23529","Canvas course site")</f>
      </c>
      <c r="E170" s="5"/>
      <c r="F170" s="0" t="s">
        <v>28</v>
      </c>
      <c r="G170" s="0" t="s">
        <v>233</v>
      </c>
      <c r="H170" s="3">
        <v>59</v>
      </c>
    </row>
    <row r="171">
      <c r="A171" s="0" t="s">
        <v>340</v>
      </c>
      <c r="B171" s="0" t="s">
        <v>341</v>
      </c>
      <c r="C171" s="5">
        <f>=HYPERLINK("https://nusmods.com/modules/BMA5134#timetable","Timetable")</f>
      </c>
      <c r="D171" s="5">
        <f>=HYPERLINK("https://canvas.nus.edu.sg/courses/23539","Canvas course site")</f>
      </c>
      <c r="E171" s="5"/>
      <c r="F171" s="0" t="s">
        <v>28</v>
      </c>
      <c r="G171" s="0" t="s">
        <v>233</v>
      </c>
      <c r="H171" s="3">
        <v>26</v>
      </c>
    </row>
    <row r="172">
      <c r="A172" s="0" t="s">
        <v>342</v>
      </c>
      <c r="B172" s="0" t="s">
        <v>343</v>
      </c>
      <c r="C172" s="5">
        <f>=HYPERLINK("https://nusmods.com/modules/BMA5275#timetable","Timetable")</f>
      </c>
      <c r="D172" s="5">
        <f>=HYPERLINK("https://canvas.nus.edu.sg/courses/26536","Canvas course site")</f>
      </c>
      <c r="E172" s="5"/>
      <c r="F172" s="0" t="s">
        <v>28</v>
      </c>
      <c r="G172" s="0" t="s">
        <v>233</v>
      </c>
      <c r="H172" s="3">
        <v>40</v>
      </c>
    </row>
    <row r="173">
      <c r="A173" s="0" t="s">
        <v>344</v>
      </c>
      <c r="B173" s="0" t="s">
        <v>345</v>
      </c>
      <c r="C173" s="5">
        <f>=HYPERLINK("https://nusmods.com/modules/BMA5314#timetable","Timetable")</f>
      </c>
      <c r="D173" s="5"/>
      <c r="E173" s="5">
        <f>=HYPERLINK("https://luminus.nus.edu.sg/modules/0b801b88-42e0-4db9-916b-107868572aae","LumiNUS course site")</f>
      </c>
      <c r="F173" s="0" t="s">
        <v>28</v>
      </c>
      <c r="G173" s="0" t="s">
        <v>233</v>
      </c>
      <c r="H173" s="3">
        <v>31</v>
      </c>
    </row>
    <row r="174">
      <c r="A174" s="0" t="s">
        <v>346</v>
      </c>
      <c r="B174" s="0" t="s">
        <v>347</v>
      </c>
      <c r="C174" s="5">
        <f>=HYPERLINK("https://nusmods.com/modules/BMA5335#timetable","Timetable")</f>
      </c>
      <c r="D174" s="5"/>
      <c r="E174" s="5">
        <f>=HYPERLINK("https://luminus.nus.edu.sg/modules/f0811a32-d67a-4c0e-8675-2690b0426b23","LumiNUS course site")</f>
      </c>
      <c r="F174" s="0" t="s">
        <v>28</v>
      </c>
      <c r="G174" s="0" t="s">
        <v>233</v>
      </c>
      <c r="H174" s="3">
        <v>56</v>
      </c>
    </row>
    <row r="175">
      <c r="A175" s="0" t="s">
        <v>348</v>
      </c>
      <c r="B175" s="0" t="s">
        <v>349</v>
      </c>
      <c r="C175" s="5">
        <f>=HYPERLINK("https://nusmods.com/modules/BMA5404#timetable","Timetable")</f>
      </c>
      <c r="D175" s="5">
        <f>=HYPERLINK("https://canvas.nus.edu.sg/courses/23557","Canvas course site")</f>
      </c>
      <c r="E175" s="5"/>
      <c r="F175" s="0" t="s">
        <v>28</v>
      </c>
      <c r="G175" s="0" t="s">
        <v>233</v>
      </c>
      <c r="H175" s="3">
        <v>42</v>
      </c>
    </row>
    <row r="176">
      <c r="A176" s="0" t="s">
        <v>350</v>
      </c>
      <c r="B176" s="0" t="s">
        <v>351</v>
      </c>
      <c r="C176" s="5">
        <f>=HYPERLINK("https://nusmods.com/modules/BMA5406#timetable","Timetable")</f>
      </c>
      <c r="D176" s="5"/>
      <c r="E176" s="5">
        <f>=HYPERLINK("https://luminus.nus.edu.sg/modules/13d6272f-5b25-4bbb-a6da-3005e274ec92","LumiNUS course site")</f>
      </c>
      <c r="F176" s="0" t="s">
        <v>28</v>
      </c>
      <c r="G176" s="0" t="s">
        <v>233</v>
      </c>
      <c r="H176" s="3">
        <v>74</v>
      </c>
    </row>
    <row r="177">
      <c r="A177" s="0" t="s">
        <v>352</v>
      </c>
      <c r="B177" s="0" t="s">
        <v>353</v>
      </c>
      <c r="C177" s="5">
        <f>=HYPERLINK("https://nusmods.com/modules/BMA5431#timetable","Timetable")</f>
      </c>
      <c r="D177" s="5">
        <f>=HYPERLINK("https://canvas.nus.edu.sg/courses/26537","Canvas course site")</f>
      </c>
      <c r="E177" s="5"/>
      <c r="F177" s="0" t="s">
        <v>28</v>
      </c>
      <c r="G177" s="0" t="s">
        <v>233</v>
      </c>
      <c r="H177" s="3">
        <v>28</v>
      </c>
    </row>
    <row r="178">
      <c r="A178" s="0" t="s">
        <v>354</v>
      </c>
      <c r="B178" s="0" t="s">
        <v>355</v>
      </c>
      <c r="C178" s="5">
        <f>=HYPERLINK("https://nusmods.com/modules/BMA5505#timetable","Timetable")</f>
      </c>
      <c r="D178" s="5"/>
      <c r="E178" s="5">
        <f>=HYPERLINK("https://luminus.nus.edu.sg/modules/006538f8-a88d-4c5d-a56c-0b8c3360fc10","LumiNUS course site")</f>
      </c>
      <c r="F178" s="0" t="s">
        <v>28</v>
      </c>
      <c r="G178" s="0" t="s">
        <v>233</v>
      </c>
      <c r="H178" s="3">
        <v>70</v>
      </c>
    </row>
    <row r="179">
      <c r="A179" s="0" t="s">
        <v>356</v>
      </c>
      <c r="B179" s="0" t="s">
        <v>357</v>
      </c>
      <c r="C179" s="5">
        <f>=HYPERLINK("https://nusmods.com/modules/BMA5506#timetable","Timetable")</f>
      </c>
      <c r="D179" s="5">
        <f>=HYPERLINK("https://canvas.nus.edu.sg/courses/23580","Canvas course site")</f>
      </c>
      <c r="E179" s="5">
        <f>=HYPERLINK("https://luminus.nus.edu.sg/modules/d1339a42-ef43-4776-944f-81ae398c0531","LumiNUS course site")</f>
      </c>
      <c r="F179" s="0" t="s">
        <v>28</v>
      </c>
      <c r="G179" s="0" t="s">
        <v>233</v>
      </c>
      <c r="H179" s="3">
        <v>36</v>
      </c>
    </row>
    <row r="180">
      <c r="A180" s="0" t="s">
        <v>358</v>
      </c>
      <c r="B180" s="0" t="s">
        <v>359</v>
      </c>
      <c r="C180" s="5">
        <f>=HYPERLINK("https://nusmods.com/modules/BMA5515#timetable","Timetable")</f>
      </c>
      <c r="D180" s="5">
        <f>=HYPERLINK("https://canvas.nus.edu.sg/courses/23583","Canvas course site")</f>
      </c>
      <c r="E180" s="5"/>
      <c r="F180" s="0" t="s">
        <v>28</v>
      </c>
      <c r="G180" s="0" t="s">
        <v>233</v>
      </c>
      <c r="H180" s="3">
        <v>25</v>
      </c>
    </row>
    <row r="181">
      <c r="A181" s="0" t="s">
        <v>360</v>
      </c>
      <c r="B181" s="0" t="s">
        <v>361</v>
      </c>
      <c r="C181" s="5">
        <f>=HYPERLINK("https://nusmods.com/modules/BMA5538#timetable","Timetable")</f>
      </c>
      <c r="D181" s="5"/>
      <c r="E181" s="5">
        <f>=HYPERLINK("https://luminus.nus.edu.sg/modules/30837d1e-7e24-479b-9345-b42fe6aafc19","LumiNUS course site")</f>
      </c>
      <c r="F181" s="0" t="s">
        <v>28</v>
      </c>
      <c r="G181" s="0" t="s">
        <v>233</v>
      </c>
      <c r="H181" s="3">
        <v>27</v>
      </c>
    </row>
    <row r="182">
      <c r="A182" s="0" t="s">
        <v>362</v>
      </c>
      <c r="B182" s="0" t="s">
        <v>363</v>
      </c>
      <c r="C182" s="5">
        <f>=HYPERLINK("https://nusmods.com/modules/BMA5539#timetable","Timetable")</f>
      </c>
      <c r="D182" s="5"/>
      <c r="E182" s="5"/>
      <c r="F182" s="0" t="s">
        <v>28</v>
      </c>
      <c r="G182" s="0" t="s">
        <v>233</v>
      </c>
      <c r="H182" s="3">
        <v>46</v>
      </c>
    </row>
    <row r="183">
      <c r="A183" s="0" t="s">
        <v>364</v>
      </c>
      <c r="B183" s="0" t="s">
        <v>365</v>
      </c>
      <c r="C183" s="5">
        <f>=HYPERLINK("https://nusmods.com/modules/BMA5701#timetable","Timetable")</f>
      </c>
      <c r="D183" s="5"/>
      <c r="E183" s="5"/>
      <c r="F183" s="0" t="s">
        <v>28</v>
      </c>
      <c r="G183" s="0" t="s">
        <v>233</v>
      </c>
      <c r="H183" s="3">
        <v>1</v>
      </c>
    </row>
    <row r="184">
      <c r="A184" s="0" t="s">
        <v>366</v>
      </c>
      <c r="B184" s="0" t="s">
        <v>367</v>
      </c>
      <c r="C184" s="5">
        <f>=HYPERLINK("https://nusmods.com/modules/BMA5801#timetable","Timetable")</f>
      </c>
      <c r="D184" s="5"/>
      <c r="E184" s="5">
        <f>=HYPERLINK("https://luminus.nus.edu.sg/modules/768af5d1-7962-4cfe-a237-1718aa64d86d","LumiNUS course site")</f>
      </c>
      <c r="F184" s="0" t="s">
        <v>28</v>
      </c>
      <c r="G184" s="0" t="s">
        <v>233</v>
      </c>
      <c r="H184" s="3">
        <v>250</v>
      </c>
    </row>
    <row r="185">
      <c r="A185" s="0" t="s">
        <v>368</v>
      </c>
      <c r="B185" s="0" t="s">
        <v>369</v>
      </c>
      <c r="C185" s="5">
        <f>=HYPERLINK("https://nusmods.com/modules/BMA5802A#timetable","Timetable")</f>
      </c>
      <c r="D185" s="5"/>
      <c r="E185" s="5">
        <f>=HYPERLINK("https://luminus.nus.edu.sg/modules/042dac9e-e69e-46d7-bb2d-f608bdf4db79","LumiNUS course site")</f>
      </c>
      <c r="F185" s="0" t="s">
        <v>28</v>
      </c>
      <c r="G185" s="0" t="s">
        <v>233</v>
      </c>
      <c r="H185" s="3">
        <v>229</v>
      </c>
    </row>
    <row r="186">
      <c r="A186" s="0" t="s">
        <v>370</v>
      </c>
      <c r="B186" s="0" t="s">
        <v>369</v>
      </c>
      <c r="C186" s="5">
        <f>=HYPERLINK("https://nusmods.com/modules/BMA5802B#timetable","Timetable")</f>
      </c>
      <c r="D186" s="5"/>
      <c r="E186" s="5">
        <f>=HYPERLINK("https://luminus.nus.edu.sg/modules/7afe3872-997b-488a-b3db-fac2f319ad33","LumiNUS course site")</f>
      </c>
      <c r="F186" s="0" t="s">
        <v>28</v>
      </c>
      <c r="G186" s="0" t="s">
        <v>233</v>
      </c>
      <c r="H186" s="3">
        <v>228</v>
      </c>
    </row>
    <row r="187">
      <c r="A187" s="0" t="s">
        <v>371</v>
      </c>
      <c r="B187" s="0" t="s">
        <v>369</v>
      </c>
      <c r="C187" s="5">
        <f>=HYPERLINK("https://nusmods.com/modules/BMA5802C#timetable","Timetable")</f>
      </c>
      <c r="D187" s="5"/>
      <c r="E187" s="5">
        <f>=HYPERLINK("https://luminus.nus.edu.sg/modules/fe724797-3cee-4dcf-9aa9-76bb94594cfa","LumiNUS course site")</f>
      </c>
      <c r="F187" s="0" t="s">
        <v>28</v>
      </c>
      <c r="G187" s="0" t="s">
        <v>233</v>
      </c>
      <c r="H187" s="3">
        <v>228</v>
      </c>
    </row>
    <row r="188">
      <c r="A188" s="0" t="s">
        <v>372</v>
      </c>
      <c r="B188" s="0" t="s">
        <v>369</v>
      </c>
      <c r="C188" s="5">
        <f>=HYPERLINK("https://nusmods.com/modules/BMA5802D#timetable","Timetable")</f>
      </c>
      <c r="D188" s="5"/>
      <c r="E188" s="5"/>
      <c r="F188" s="0" t="s">
        <v>28</v>
      </c>
      <c r="G188" s="0" t="s">
        <v>233</v>
      </c>
      <c r="H188" s="3">
        <v>228</v>
      </c>
    </row>
    <row r="189">
      <c r="A189" s="0" t="s">
        <v>373</v>
      </c>
      <c r="B189" s="0" t="s">
        <v>374</v>
      </c>
      <c r="C189" s="5">
        <f>=HYPERLINK("https://nusmods.com/modules/BMA5901#timetable","Timetable")</f>
      </c>
      <c r="D189" s="5"/>
      <c r="E189" s="5"/>
      <c r="F189" s="0" t="s">
        <v>28</v>
      </c>
      <c r="G189" s="0" t="s">
        <v>233</v>
      </c>
      <c r="H189" s="3">
        <v>92</v>
      </c>
    </row>
    <row r="190">
      <c r="A190" s="0" t="s">
        <v>375</v>
      </c>
      <c r="B190" s="0" t="s">
        <v>376</v>
      </c>
      <c r="C190" s="5">
        <f>=HYPERLINK("https://nusmods.com/modules/BMA5902#timetable","Timetable")</f>
      </c>
      <c r="D190" s="5"/>
      <c r="E190" s="5"/>
      <c r="F190" s="0" t="s">
        <v>28</v>
      </c>
      <c r="G190" s="0" t="s">
        <v>233</v>
      </c>
      <c r="H190" s="3">
        <v>0</v>
      </c>
    </row>
    <row r="191">
      <c r="A191" s="0" t="s">
        <v>377</v>
      </c>
      <c r="B191" s="0" t="s">
        <v>378</v>
      </c>
      <c r="C191" s="5">
        <f>=HYPERLINK("https://nusmods.com/modules/BMA5903#timetable","Timetable")</f>
      </c>
      <c r="D191" s="5"/>
      <c r="E191" s="5"/>
      <c r="F191" s="0" t="s">
        <v>28</v>
      </c>
      <c r="G191" s="0" t="s">
        <v>233</v>
      </c>
      <c r="H191" s="3">
        <v>31</v>
      </c>
    </row>
    <row r="192">
      <c r="A192" s="0" t="s">
        <v>379</v>
      </c>
      <c r="B192" s="0" t="s">
        <v>380</v>
      </c>
      <c r="C192" s="5">
        <f>=HYPERLINK("https://nusmods.com/modules/BMC5021#timetable","Timetable")</f>
      </c>
      <c r="D192" s="5"/>
      <c r="E192" s="5">
        <f>=HYPERLINK("https://luminus.nus.edu.sg/modules/69603847-42d4-4933-b82a-442343d32958","LumiNUS course site")</f>
      </c>
      <c r="F192" s="0" t="s">
        <v>28</v>
      </c>
      <c r="G192" s="0" t="s">
        <v>233</v>
      </c>
      <c r="H192" s="3">
        <v>0</v>
      </c>
    </row>
    <row r="193">
      <c r="A193" s="0" t="s">
        <v>381</v>
      </c>
      <c r="B193" s="0" t="s">
        <v>382</v>
      </c>
      <c r="C193" s="5">
        <f>=HYPERLINK("https://nusmods.com/modules/BMC5022#timetable","Timetable")</f>
      </c>
      <c r="D193" s="5"/>
      <c r="E193" s="5">
        <f>=HYPERLINK("https://luminus.nus.edu.sg/modules/b7a21e85-201e-4b91-a0af-6f512d66be40","LumiNUS course site")</f>
      </c>
      <c r="F193" s="0" t="s">
        <v>28</v>
      </c>
      <c r="G193" s="0" t="s">
        <v>233</v>
      </c>
      <c r="H193" s="3">
        <v>40</v>
      </c>
    </row>
    <row r="194">
      <c r="A194" s="0" t="s">
        <v>383</v>
      </c>
      <c r="B194" s="0" t="s">
        <v>384</v>
      </c>
      <c r="C194" s="5">
        <f>=HYPERLINK("https://nusmods.com/modules/BMC5023#timetable","Timetable")</f>
      </c>
      <c r="D194" s="5"/>
      <c r="E194" s="5">
        <f>=HYPERLINK("https://luminus.nus.edu.sg/modules/6fc7da24-6275-4b8a-937f-0dbf4dfe17a0","LumiNUS course site")</f>
      </c>
      <c r="F194" s="0" t="s">
        <v>28</v>
      </c>
      <c r="G194" s="0" t="s">
        <v>233</v>
      </c>
      <c r="H194" s="3">
        <v>0</v>
      </c>
    </row>
    <row r="195">
      <c r="A195" s="0" t="s">
        <v>385</v>
      </c>
      <c r="B195" s="0" t="s">
        <v>386</v>
      </c>
      <c r="C195" s="5">
        <f>=HYPERLINK("https://nusmods.com/modules/BMC5024#timetable","Timetable")</f>
      </c>
      <c r="D195" s="5"/>
      <c r="E195" s="5">
        <f>=HYPERLINK("https://luminus.nus.edu.sg/modules/52491c75-fce0-4f48-be9f-748089920d70","LumiNUS course site")</f>
      </c>
      <c r="F195" s="0" t="s">
        <v>28</v>
      </c>
      <c r="G195" s="0" t="s">
        <v>233</v>
      </c>
      <c r="H195" s="3">
        <v>0</v>
      </c>
    </row>
    <row r="196">
      <c r="A196" s="0" t="s">
        <v>387</v>
      </c>
      <c r="B196" s="0" t="s">
        <v>388</v>
      </c>
      <c r="C196" s="5">
        <f>=HYPERLINK("https://nusmods.com/modules/BMC5025#timetable","Timetable")</f>
      </c>
      <c r="D196" s="5"/>
      <c r="E196" s="5"/>
      <c r="F196" s="0" t="s">
        <v>28</v>
      </c>
      <c r="G196" s="0" t="s">
        <v>233</v>
      </c>
      <c r="H196" s="3">
        <v>0</v>
      </c>
    </row>
    <row r="197">
      <c r="A197" s="0" t="s">
        <v>389</v>
      </c>
      <c r="B197" s="0" t="s">
        <v>390</v>
      </c>
      <c r="C197" s="5">
        <f>=HYPERLINK("https://nusmods.com/modules/BMC5027#timetable","Timetable")</f>
      </c>
      <c r="D197" s="5"/>
      <c r="E197" s="5"/>
      <c r="F197" s="0" t="s">
        <v>28</v>
      </c>
      <c r="G197" s="0" t="s">
        <v>233</v>
      </c>
      <c r="H197" s="3">
        <v>0</v>
      </c>
    </row>
    <row r="198">
      <c r="A198" s="0" t="s">
        <v>391</v>
      </c>
      <c r="B198" s="0" t="s">
        <v>392</v>
      </c>
      <c r="C198" s="5">
        <f>=HYPERLINK("https://nusmods.com/modules/BMC5029#timetable","Timetable")</f>
      </c>
      <c r="D198" s="5"/>
      <c r="E198" s="5">
        <f>=HYPERLINK("https://luminus.nus.edu.sg/modules/728836aa-d1c2-4550-bc14-b04c748d701b","LumiNUS course site")</f>
      </c>
      <c r="F198" s="0" t="s">
        <v>28</v>
      </c>
      <c r="G198" s="0" t="s">
        <v>233</v>
      </c>
      <c r="H198" s="3">
        <v>0</v>
      </c>
    </row>
    <row r="199">
      <c r="A199" s="0" t="s">
        <v>393</v>
      </c>
      <c r="B199" s="0" t="s">
        <v>394</v>
      </c>
      <c r="C199" s="5">
        <f>=HYPERLINK("https://nusmods.com/modules/BMC5030#timetable","Timetable")</f>
      </c>
      <c r="D199" s="5"/>
      <c r="E199" s="5"/>
      <c r="F199" s="0" t="s">
        <v>28</v>
      </c>
      <c r="G199" s="0" t="s">
        <v>233</v>
      </c>
      <c r="H199" s="3">
        <v>0</v>
      </c>
    </row>
    <row r="200">
      <c r="A200" s="0" t="s">
        <v>395</v>
      </c>
      <c r="B200" s="0" t="s">
        <v>396</v>
      </c>
      <c r="C200" s="5">
        <f>=HYPERLINK("https://nusmods.com/modules/BMC5031#timetable","Timetable")</f>
      </c>
      <c r="D200" s="5"/>
      <c r="E200" s="5"/>
      <c r="F200" s="0" t="s">
        <v>28</v>
      </c>
      <c r="G200" s="0" t="s">
        <v>233</v>
      </c>
      <c r="H200" s="3">
        <v>0</v>
      </c>
    </row>
    <row r="201">
      <c r="A201" s="0" t="s">
        <v>397</v>
      </c>
      <c r="B201" s="0" t="s">
        <v>398</v>
      </c>
      <c r="C201" s="5">
        <f>=HYPERLINK("https://nusmods.com/modules/BMC5032#timetable","Timetable")</f>
      </c>
      <c r="D201" s="5"/>
      <c r="E201" s="5"/>
      <c r="F201" s="0" t="s">
        <v>28</v>
      </c>
      <c r="G201" s="0" t="s">
        <v>233</v>
      </c>
      <c r="H201" s="3">
        <v>0</v>
      </c>
    </row>
    <row r="202">
      <c r="A202" s="0" t="s">
        <v>399</v>
      </c>
      <c r="B202" s="0" t="s">
        <v>400</v>
      </c>
      <c r="C202" s="5">
        <f>=HYPERLINK("https://nusmods.com/modules/BMC5035A#timetable","Timetable")</f>
      </c>
      <c r="D202" s="5"/>
      <c r="E202" s="5"/>
      <c r="F202" s="0" t="s">
        <v>28</v>
      </c>
      <c r="G202" s="0" t="s">
        <v>233</v>
      </c>
      <c r="H202" s="3">
        <v>0</v>
      </c>
    </row>
    <row r="203">
      <c r="A203" s="0" t="s">
        <v>401</v>
      </c>
      <c r="B203" s="0" t="s">
        <v>402</v>
      </c>
      <c r="C203" s="5">
        <f>=HYPERLINK("https://nusmods.com/modules/BMC5035C#timetable","Timetable")</f>
      </c>
      <c r="D203" s="5"/>
      <c r="E203" s="5"/>
      <c r="F203" s="0" t="s">
        <v>28</v>
      </c>
      <c r="G203" s="0" t="s">
        <v>233</v>
      </c>
      <c r="H203" s="3">
        <v>0</v>
      </c>
    </row>
    <row r="204">
      <c r="A204" s="0" t="s">
        <v>403</v>
      </c>
      <c r="B204" s="0" t="s">
        <v>404</v>
      </c>
      <c r="C204" s="5">
        <f>=HYPERLINK("https://nusmods.com/modules/BMC5035D#timetable","Timetable")</f>
      </c>
      <c r="D204" s="5"/>
      <c r="E204" s="5"/>
      <c r="F204" s="0" t="s">
        <v>28</v>
      </c>
      <c r="G204" s="0" t="s">
        <v>233</v>
      </c>
      <c r="H204" s="3">
        <v>0</v>
      </c>
    </row>
    <row r="205">
      <c r="A205" s="0" t="s">
        <v>405</v>
      </c>
      <c r="B205" s="0" t="s">
        <v>406</v>
      </c>
      <c r="C205" s="5">
        <f>=HYPERLINK("https://nusmods.com/modules/BMC5035F#timetable","Timetable")</f>
      </c>
      <c r="D205" s="5"/>
      <c r="E205" s="5"/>
      <c r="F205" s="0" t="s">
        <v>28</v>
      </c>
      <c r="G205" s="0" t="s">
        <v>233</v>
      </c>
      <c r="H205" s="3">
        <v>0</v>
      </c>
    </row>
    <row r="206">
      <c r="A206" s="0" t="s">
        <v>407</v>
      </c>
      <c r="B206" s="0" t="s">
        <v>408</v>
      </c>
      <c r="C206" s="5">
        <f>=HYPERLINK("https://nusmods.com/modules/BMC5035G#timetable","Timetable")</f>
      </c>
      <c r="D206" s="5"/>
      <c r="E206" s="5"/>
      <c r="F206" s="0" t="s">
        <v>28</v>
      </c>
      <c r="G206" s="0" t="s">
        <v>233</v>
      </c>
      <c r="H206" s="3">
        <v>0</v>
      </c>
    </row>
    <row r="207">
      <c r="A207" s="0" t="s">
        <v>409</v>
      </c>
      <c r="B207" s="0" t="s">
        <v>410</v>
      </c>
      <c r="C207" s="5">
        <f>=HYPERLINK("https://nusmods.com/modules/BMC5035J#timetable","Timetable")</f>
      </c>
      <c r="D207" s="5"/>
      <c r="E207" s="5">
        <f>=HYPERLINK("https://luminus.nus.edu.sg/modules/2da0d3d4-e4ff-48be-9d6b-e6af59f40d36","LumiNUS course site")</f>
      </c>
      <c r="F207" s="0" t="s">
        <v>28</v>
      </c>
      <c r="G207" s="0" t="s">
        <v>233</v>
      </c>
      <c r="H207" s="3">
        <v>26</v>
      </c>
    </row>
    <row r="208">
      <c r="A208" s="0" t="s">
        <v>411</v>
      </c>
      <c r="B208" s="0" t="s">
        <v>412</v>
      </c>
      <c r="C208" s="5">
        <f>=HYPERLINK("https://nusmods.com/modules/BMC5035K#timetable","Timetable")</f>
      </c>
      <c r="D208" s="5"/>
      <c r="E208" s="5"/>
      <c r="F208" s="0" t="s">
        <v>28</v>
      </c>
      <c r="G208" s="0" t="s">
        <v>233</v>
      </c>
      <c r="H208" s="3">
        <v>0</v>
      </c>
    </row>
    <row r="209">
      <c r="A209" s="0" t="s">
        <v>413</v>
      </c>
      <c r="B209" s="0" t="s">
        <v>414</v>
      </c>
      <c r="C209" s="5">
        <f>=HYPERLINK("https://nusmods.com/modules/BMC5035M#timetable","Timetable")</f>
      </c>
      <c r="D209" s="5"/>
      <c r="E209" s="5">
        <f>=HYPERLINK("https://luminus.nus.edu.sg/modules/6c0670de-1480-4b65-8b7d-3ca042e71e01","LumiNUS course site")</f>
      </c>
      <c r="F209" s="0" t="s">
        <v>28</v>
      </c>
      <c r="G209" s="0" t="s">
        <v>233</v>
      </c>
      <c r="H209" s="3">
        <v>49</v>
      </c>
    </row>
    <row r="210">
      <c r="A210" s="0" t="s">
        <v>415</v>
      </c>
      <c r="B210" s="0" t="s">
        <v>416</v>
      </c>
      <c r="C210" s="5">
        <f>=HYPERLINK("https://nusmods.com/modules/BMC5036#timetable","Timetable")</f>
      </c>
      <c r="D210" s="5"/>
      <c r="E210" s="5"/>
      <c r="F210" s="0" t="s">
        <v>28</v>
      </c>
      <c r="G210" s="0" t="s">
        <v>233</v>
      </c>
      <c r="H210" s="3">
        <v>0</v>
      </c>
    </row>
    <row r="211">
      <c r="A211" s="0" t="s">
        <v>417</v>
      </c>
      <c r="B211" s="0" t="s">
        <v>418</v>
      </c>
      <c r="C211" s="5">
        <f>=HYPERLINK("https://nusmods.com/modules/BMC5037#timetable","Timetable")</f>
      </c>
      <c r="D211" s="5"/>
      <c r="E211" s="5">
        <f>=HYPERLINK("https://luminus.nus.edu.sg/modules/6c4c352a-2b15-429d-8e4f-759ea226ff39","LumiNUS course site")</f>
      </c>
      <c r="F211" s="0" t="s">
        <v>28</v>
      </c>
      <c r="G211" s="0" t="s">
        <v>233</v>
      </c>
      <c r="H211" s="3">
        <v>0</v>
      </c>
    </row>
    <row r="212">
      <c r="A212" s="0" t="s">
        <v>419</v>
      </c>
      <c r="B212" s="0" t="s">
        <v>420</v>
      </c>
      <c r="C212" s="5">
        <f>=HYPERLINK("https://nusmods.com/modules/BMD5301#timetable","Timetable")</f>
      </c>
      <c r="D212" s="5">
        <f>=HYPERLINK("https://canvas.nus.edu.sg/courses/22672","Canvas course site")</f>
      </c>
      <c r="E212" s="5"/>
      <c r="F212" s="0" t="s">
        <v>28</v>
      </c>
      <c r="G212" s="0" t="s">
        <v>233</v>
      </c>
      <c r="H212" s="3">
        <v>35</v>
      </c>
    </row>
    <row r="213">
      <c r="A213" s="0" t="s">
        <v>421</v>
      </c>
      <c r="B213" s="0" t="s">
        <v>422</v>
      </c>
      <c r="C213" s="5">
        <f>=HYPERLINK("https://nusmods.com/modules/BME5041#timetable","Timetable")</f>
      </c>
      <c r="D213" s="5"/>
      <c r="E213" s="5">
        <f>=HYPERLINK("https://luminus.nus.edu.sg/modules/1e366dfe-98d7-4bfd-b37b-6dacb22b92a6","LumiNUS course site")</f>
      </c>
      <c r="F213" s="0" t="s">
        <v>28</v>
      </c>
      <c r="G213" s="0" t="s">
        <v>233</v>
      </c>
      <c r="H213" s="3">
        <v>0</v>
      </c>
    </row>
    <row r="214">
      <c r="A214" s="0" t="s">
        <v>423</v>
      </c>
      <c r="B214" s="0" t="s">
        <v>424</v>
      </c>
      <c r="C214" s="5">
        <f>=HYPERLINK("https://nusmods.com/modules/BME5042#timetable","Timetable")</f>
      </c>
      <c r="D214" s="5"/>
      <c r="E214" s="5">
        <f>=HYPERLINK("https://luminus.nus.edu.sg/modules/0746b648-ee9d-483a-ae2a-794a5159bdcd","LumiNUS course site")</f>
      </c>
      <c r="F214" s="0" t="s">
        <v>28</v>
      </c>
      <c r="G214" s="0" t="s">
        <v>233</v>
      </c>
      <c r="H214" s="3">
        <v>52</v>
      </c>
    </row>
    <row r="215">
      <c r="A215" s="0" t="s">
        <v>425</v>
      </c>
      <c r="B215" s="0" t="s">
        <v>426</v>
      </c>
      <c r="C215" s="5">
        <f>=HYPERLINK("https://nusmods.com/modules/BME5044#timetable","Timetable")</f>
      </c>
      <c r="D215" s="5"/>
      <c r="E215" s="5">
        <f>=HYPERLINK("https://luminus.nus.edu.sg/modules/117a879c-48be-476e-87ac-ac361866be2d","LumiNUS course site")</f>
      </c>
      <c r="F215" s="0" t="s">
        <v>28</v>
      </c>
      <c r="G215" s="0" t="s">
        <v>233</v>
      </c>
      <c r="H215" s="3">
        <v>51</v>
      </c>
    </row>
    <row r="216">
      <c r="A216" s="0" t="s">
        <v>427</v>
      </c>
      <c r="B216" s="0" t="s">
        <v>428</v>
      </c>
      <c r="C216" s="5">
        <f>=HYPERLINK("https://nusmods.com/modules/BME5048#timetable","Timetable")</f>
      </c>
      <c r="D216" s="5"/>
      <c r="E216" s="5">
        <f>=HYPERLINK("https://luminus.nus.edu.sg/modules/750c1217-c72b-4ea8-90a7-4431857a1206","LumiNUS course site")</f>
      </c>
      <c r="F216" s="0" t="s">
        <v>28</v>
      </c>
      <c r="G216" s="0" t="s">
        <v>233</v>
      </c>
      <c r="H216" s="3">
        <v>53</v>
      </c>
    </row>
    <row r="217">
      <c r="A217" s="0" t="s">
        <v>429</v>
      </c>
      <c r="B217" s="0" t="s">
        <v>430</v>
      </c>
      <c r="C217" s="5">
        <f>=HYPERLINK("https://nusmods.com/modules/BME5050#timetable","Timetable")</f>
      </c>
      <c r="D217" s="5"/>
      <c r="E217" s="5"/>
      <c r="F217" s="0" t="s">
        <v>28</v>
      </c>
      <c r="G217" s="0" t="s">
        <v>233</v>
      </c>
      <c r="H217" s="3">
        <v>0</v>
      </c>
    </row>
    <row r="218">
      <c r="A218" s="0" t="s">
        <v>431</v>
      </c>
      <c r="B218" s="0" t="s">
        <v>432</v>
      </c>
      <c r="C218" s="5">
        <f>=HYPERLINK("https://nusmods.com/modules/BME5051#timetable","Timetable")</f>
      </c>
      <c r="D218" s="5"/>
      <c r="E218" s="5">
        <f>=HYPERLINK("https://luminus.nus.edu.sg/modules/24eb67a1-f0d1-4e02-af10-d8230702c8be","LumiNUS course site")</f>
      </c>
      <c r="F218" s="0" t="s">
        <v>28</v>
      </c>
      <c r="G218" s="0" t="s">
        <v>233</v>
      </c>
      <c r="H218" s="3">
        <v>51</v>
      </c>
    </row>
    <row r="219">
      <c r="A219" s="0" t="s">
        <v>433</v>
      </c>
      <c r="B219" s="0" t="s">
        <v>434</v>
      </c>
      <c r="C219" s="5">
        <f>=HYPERLINK("https://nusmods.com/modules/BME5053#timetable","Timetable")</f>
      </c>
      <c r="D219" s="5"/>
      <c r="E219" s="5">
        <f>=HYPERLINK("https://luminus.nus.edu.sg/modules/b06db493-5732-4073-9f7a-251b682e868b","LumiNUS course site")</f>
      </c>
      <c r="F219" s="0" t="s">
        <v>28</v>
      </c>
      <c r="G219" s="0" t="s">
        <v>233</v>
      </c>
      <c r="H219" s="3">
        <v>51</v>
      </c>
    </row>
    <row r="220">
      <c r="A220" s="0" t="s">
        <v>435</v>
      </c>
      <c r="B220" s="0" t="s">
        <v>436</v>
      </c>
      <c r="C220" s="5">
        <f>=HYPERLINK("https://nusmods.com/modules/BME5056A#timetable","Timetable")</f>
      </c>
      <c r="D220" s="5"/>
      <c r="E220" s="5"/>
      <c r="F220" s="0" t="s">
        <v>28</v>
      </c>
      <c r="G220" s="0" t="s">
        <v>233</v>
      </c>
      <c r="H220" s="3">
        <v>0</v>
      </c>
    </row>
    <row r="221">
      <c r="A221" s="0" t="s">
        <v>437</v>
      </c>
      <c r="B221" s="0" t="s">
        <v>438</v>
      </c>
      <c r="C221" s="5">
        <f>=HYPERLINK("https://nusmods.com/modules/BME5056B#timetable","Timetable")</f>
      </c>
      <c r="D221" s="5"/>
      <c r="E221" s="5">
        <f>=HYPERLINK("https://luminus.nus.edu.sg/modules/5b08bc7d-2377-47f0-98d7-01361327fc4f","LumiNUS course site")</f>
      </c>
      <c r="F221" s="0" t="s">
        <v>28</v>
      </c>
      <c r="G221" s="0" t="s">
        <v>233</v>
      </c>
      <c r="H221" s="3">
        <v>50</v>
      </c>
    </row>
    <row r="222">
      <c r="A222" s="0" t="s">
        <v>439</v>
      </c>
      <c r="B222" s="0" t="s">
        <v>440</v>
      </c>
      <c r="C222" s="5">
        <f>=HYPERLINK("https://nusmods.com/modules/BME5057A#timetable","Timetable")</f>
      </c>
      <c r="D222" s="5"/>
      <c r="E222" s="5">
        <f>=HYPERLINK("https://luminus.nus.edu.sg/modules/c6403393-c827-4ab3-bb3f-e949afe00968","LumiNUS course site")</f>
      </c>
      <c r="F222" s="0" t="s">
        <v>28</v>
      </c>
      <c r="G222" s="0" t="s">
        <v>233</v>
      </c>
      <c r="H222" s="3">
        <v>49</v>
      </c>
    </row>
    <row r="223">
      <c r="A223" s="0" t="s">
        <v>441</v>
      </c>
      <c r="B223" s="0" t="s">
        <v>442</v>
      </c>
      <c r="C223" s="5">
        <f>=HYPERLINK("https://nusmods.com/modules/BME5057B#timetable","Timetable")</f>
      </c>
      <c r="D223" s="5"/>
      <c r="E223" s="5"/>
      <c r="F223" s="0" t="s">
        <v>28</v>
      </c>
      <c r="G223" s="0" t="s">
        <v>233</v>
      </c>
      <c r="H223" s="3">
        <v>0</v>
      </c>
    </row>
    <row r="224">
      <c r="A224" s="0" t="s">
        <v>443</v>
      </c>
      <c r="B224" s="0" t="s">
        <v>444</v>
      </c>
      <c r="C224" s="5">
        <f>=HYPERLINK("https://nusmods.com/modules/BMF5321#timetable","Timetable")</f>
      </c>
      <c r="D224" s="5"/>
      <c r="E224" s="5">
        <f>=HYPERLINK("https://luminus.nus.edu.sg/modules/a67e0770-0477-4e5d-80ad-316eb4f5e7fc","LumiNUS course site")</f>
      </c>
      <c r="F224" s="0" t="s">
        <v>28</v>
      </c>
      <c r="G224" s="0" t="s">
        <v>233</v>
      </c>
      <c r="H224" s="3">
        <v>127</v>
      </c>
    </row>
    <row r="225">
      <c r="A225" s="0" t="s">
        <v>445</v>
      </c>
      <c r="B225" s="0" t="s">
        <v>446</v>
      </c>
      <c r="C225" s="5">
        <f>=HYPERLINK("https://nusmods.com/modules/BMF5322#timetable","Timetable")</f>
      </c>
      <c r="D225" s="5">
        <f>=HYPERLINK("https://canvas.nus.edu.sg/courses/22725","Canvas course site")</f>
      </c>
      <c r="E225" s="5"/>
      <c r="F225" s="0" t="s">
        <v>28</v>
      </c>
      <c r="G225" s="0" t="s">
        <v>233</v>
      </c>
      <c r="H225" s="3">
        <v>127</v>
      </c>
    </row>
    <row r="226">
      <c r="A226" s="0" t="s">
        <v>447</v>
      </c>
      <c r="B226" s="0" t="s">
        <v>448</v>
      </c>
      <c r="C226" s="5">
        <f>=HYPERLINK("https://nusmods.com/modules/BMF5323#timetable","Timetable")</f>
      </c>
      <c r="D226" s="5"/>
      <c r="E226" s="5">
        <f>=HYPERLINK("https://luminus.nus.edu.sg/modules/3af8962e-5c48-45ec-af44-a71d66cde153","LumiNUS course site")</f>
      </c>
      <c r="F226" s="0" t="s">
        <v>28</v>
      </c>
      <c r="G226" s="0" t="s">
        <v>233</v>
      </c>
      <c r="H226" s="3">
        <v>127</v>
      </c>
    </row>
    <row r="227">
      <c r="A227" s="0" t="s">
        <v>449</v>
      </c>
      <c r="B227" s="0" t="s">
        <v>450</v>
      </c>
      <c r="C227" s="5">
        <f>=HYPERLINK("https://nusmods.com/modules/BMF5324#timetable","Timetable")</f>
      </c>
      <c r="D227" s="5">
        <f>=HYPERLINK("https://canvas.nus.edu.sg/courses/22735","Canvas course site")</f>
      </c>
      <c r="E227" s="5"/>
      <c r="F227" s="0" t="s">
        <v>28</v>
      </c>
      <c r="G227" s="0" t="s">
        <v>233</v>
      </c>
      <c r="H227" s="3">
        <v>127</v>
      </c>
    </row>
    <row r="228">
      <c r="A228" s="0" t="s">
        <v>451</v>
      </c>
      <c r="B228" s="0" t="s">
        <v>452</v>
      </c>
      <c r="C228" s="5">
        <f>=HYPERLINK("https://nusmods.com/modules/BMF5342#timetable","Timetable")</f>
      </c>
      <c r="D228" s="5">
        <f>=HYPERLINK("https://canvas.nus.edu.sg/courses/22740","Canvas course site")</f>
      </c>
      <c r="E228" s="5"/>
      <c r="F228" s="0" t="s">
        <v>28</v>
      </c>
      <c r="G228" s="0" t="s">
        <v>233</v>
      </c>
      <c r="H228" s="3">
        <v>31</v>
      </c>
    </row>
    <row r="229">
      <c r="A229" s="0" t="s">
        <v>453</v>
      </c>
      <c r="B229" s="0" t="s">
        <v>454</v>
      </c>
      <c r="C229" s="5">
        <f>=HYPERLINK("https://nusmods.com/modules/BMF5343#timetable","Timetable")</f>
      </c>
      <c r="D229" s="5"/>
      <c r="E229" s="5">
        <f>=HYPERLINK("https://luminus.nus.edu.sg/modules/4ce527a9-ea10-4e30-a830-4e127fd9a759","LumiNUS course site")</f>
      </c>
      <c r="F229" s="0" t="s">
        <v>28</v>
      </c>
      <c r="G229" s="0" t="s">
        <v>233</v>
      </c>
      <c r="H229" s="3">
        <v>40</v>
      </c>
    </row>
    <row r="230">
      <c r="A230" s="0" t="s">
        <v>455</v>
      </c>
      <c r="B230" s="0" t="s">
        <v>456</v>
      </c>
      <c r="C230" s="5">
        <f>=HYPERLINK("https://nusmods.com/modules/BMF5344#timetable","Timetable")</f>
      </c>
      <c r="D230" s="5"/>
      <c r="E230" s="5">
        <f>=HYPERLINK("https://luminus.nus.edu.sg/modules/78bb69ee-be00-4681-9af5-da218815b317","LumiNUS course site")</f>
      </c>
      <c r="F230" s="0" t="s">
        <v>28</v>
      </c>
      <c r="G230" s="0" t="s">
        <v>233</v>
      </c>
      <c r="H230" s="3">
        <v>57</v>
      </c>
    </row>
    <row r="231">
      <c r="A231" s="0" t="s">
        <v>457</v>
      </c>
      <c r="B231" s="0" t="s">
        <v>458</v>
      </c>
      <c r="C231" s="5">
        <f>=HYPERLINK("https://nusmods.com/modules/BMF5346#timetable","Timetable")</f>
      </c>
      <c r="D231" s="5"/>
      <c r="E231" s="5">
        <f>=HYPERLINK("https://luminus.nus.edu.sg/modules/e7065fa8-0a74-498c-a2df-52240671e329","LumiNUS course site")</f>
      </c>
      <c r="F231" s="0" t="s">
        <v>28</v>
      </c>
      <c r="G231" s="0" t="s">
        <v>233</v>
      </c>
      <c r="H231" s="3">
        <v>76</v>
      </c>
    </row>
    <row r="232">
      <c r="A232" s="0" t="s">
        <v>459</v>
      </c>
      <c r="B232" s="0" t="s">
        <v>460</v>
      </c>
      <c r="C232" s="5">
        <f>=HYPERLINK("https://nusmods.com/modules/BMF5351#timetable","Timetable")</f>
      </c>
      <c r="D232" s="5"/>
      <c r="E232" s="5">
        <f>=HYPERLINK("https://luminus.nus.edu.sg/modules/b60d4b8c-c725-403e-b0c7-ee93531f09b3","LumiNUS course site")</f>
      </c>
      <c r="F232" s="0" t="s">
        <v>28</v>
      </c>
      <c r="G232" s="0" t="s">
        <v>233</v>
      </c>
      <c r="H232" s="3">
        <v>29</v>
      </c>
    </row>
    <row r="233">
      <c r="A233" s="0" t="s">
        <v>461</v>
      </c>
      <c r="B233" s="0" t="s">
        <v>462</v>
      </c>
      <c r="C233" s="5">
        <f>=HYPERLINK("https://nusmods.com/modules/BMF5353#timetable","Timetable")</f>
      </c>
      <c r="D233" s="5">
        <f>=HYPERLINK("https://canvas.nus.edu.sg/courses/22766","Canvas course site")</f>
      </c>
      <c r="E233" s="5"/>
      <c r="F233" s="0" t="s">
        <v>28</v>
      </c>
      <c r="G233" s="0" t="s">
        <v>233</v>
      </c>
      <c r="H233" s="3">
        <v>45</v>
      </c>
    </row>
    <row r="234">
      <c r="A234" s="0" t="s">
        <v>463</v>
      </c>
      <c r="B234" s="0" t="s">
        <v>464</v>
      </c>
      <c r="C234" s="5">
        <f>=HYPERLINK("https://nusmods.com/modules/BMF5354#timetable","Timetable")</f>
      </c>
      <c r="D234" s="5"/>
      <c r="E234" s="5">
        <f>=HYPERLINK("https://luminus.nus.edu.sg/modules/b56305be-9c50-4fef-ad85-cf7fe6b2006a","LumiNUS course site")</f>
      </c>
      <c r="F234" s="0" t="s">
        <v>28</v>
      </c>
      <c r="G234" s="0" t="s">
        <v>233</v>
      </c>
      <c r="H234" s="3">
        <v>41</v>
      </c>
    </row>
    <row r="235">
      <c r="A235" s="0" t="s">
        <v>465</v>
      </c>
      <c r="B235" s="0" t="s">
        <v>466</v>
      </c>
      <c r="C235" s="5">
        <f>=HYPERLINK("https://nusmods.com/modules/BMF5355#timetable","Timetable")</f>
      </c>
      <c r="D235" s="5">
        <f>=HYPERLINK("https://canvas.nus.edu.sg/courses/22776","Canvas course site")</f>
      </c>
      <c r="E235" s="5"/>
      <c r="F235" s="0" t="s">
        <v>28</v>
      </c>
      <c r="G235" s="0" t="s">
        <v>233</v>
      </c>
      <c r="H235" s="3">
        <v>37</v>
      </c>
    </row>
    <row r="236">
      <c r="A236" s="0" t="s">
        <v>467</v>
      </c>
      <c r="B236" s="0" t="s">
        <v>468</v>
      </c>
      <c r="C236" s="5">
        <f>=HYPERLINK("https://nusmods.com/modules/BMF5356#timetable","Timetable")</f>
      </c>
      <c r="D236" s="5"/>
      <c r="E236" s="5">
        <f>=HYPERLINK("https://luminus.nus.edu.sg/modules/78d02787-7a58-40e9-9402-83347835b1aa","LumiNUS course site")</f>
      </c>
      <c r="F236" s="0" t="s">
        <v>28</v>
      </c>
      <c r="G236" s="0" t="s">
        <v>233</v>
      </c>
      <c r="H236" s="3">
        <v>41</v>
      </c>
    </row>
    <row r="237">
      <c r="A237" s="0" t="s">
        <v>469</v>
      </c>
      <c r="B237" s="0" t="s">
        <v>470</v>
      </c>
      <c r="C237" s="5">
        <f>=HYPERLINK("https://nusmods.com/modules/BMF5357#timetable","Timetable")</f>
      </c>
      <c r="D237" s="5"/>
      <c r="E237" s="5">
        <f>=HYPERLINK("https://luminus.nus.edu.sg/modules/284d8271-bb84-4e0a-a1cc-64f1ebc0db0d","LumiNUS course site")</f>
      </c>
      <c r="F237" s="0" t="s">
        <v>28</v>
      </c>
      <c r="G237" s="0" t="s">
        <v>233</v>
      </c>
      <c r="H237" s="3">
        <v>42</v>
      </c>
    </row>
    <row r="238">
      <c r="A238" s="0" t="s">
        <v>471</v>
      </c>
      <c r="B238" s="0" t="s">
        <v>472</v>
      </c>
      <c r="C238" s="5">
        <f>=HYPERLINK("https://nusmods.com/modules/BMF5358#timetable","Timetable")</f>
      </c>
      <c r="D238" s="5">
        <f>=HYPERLINK("https://canvas.nus.edu.sg/courses/22786","Canvas course site")</f>
      </c>
      <c r="E238" s="5"/>
      <c r="F238" s="0" t="s">
        <v>28</v>
      </c>
      <c r="G238" s="0" t="s">
        <v>233</v>
      </c>
      <c r="H238" s="3">
        <v>17</v>
      </c>
    </row>
    <row r="239">
      <c r="A239" s="0" t="s">
        <v>473</v>
      </c>
      <c r="B239" s="0" t="s">
        <v>474</v>
      </c>
      <c r="C239" s="5">
        <f>=HYPERLINK("https://nusmods.com/modules/BMF5359#timetable","Timetable")</f>
      </c>
      <c r="D239" s="5"/>
      <c r="E239" s="5">
        <f>=HYPERLINK("https://luminus.nus.edu.sg/modules/1e24c52a-cc12-49d6-adb1-c6a658bd283f","LumiNUS course site")</f>
      </c>
      <c r="F239" s="0" t="s">
        <v>28</v>
      </c>
      <c r="G239" s="0" t="s">
        <v>233</v>
      </c>
      <c r="H239" s="3">
        <v>45</v>
      </c>
    </row>
    <row r="240">
      <c r="A240" s="0" t="s">
        <v>475</v>
      </c>
      <c r="B240" s="0" t="s">
        <v>476</v>
      </c>
      <c r="C240" s="5">
        <f>=HYPERLINK("https://nusmods.com/modules/BMF5391A#timetable","Timetable")</f>
      </c>
      <c r="D240" s="5"/>
      <c r="E240" s="5"/>
      <c r="F240" s="0" t="s">
        <v>28</v>
      </c>
      <c r="G240" s="0" t="s">
        <v>233</v>
      </c>
      <c r="H240" s="3">
        <v>3</v>
      </c>
    </row>
    <row r="241">
      <c r="A241" s="0" t="s">
        <v>477</v>
      </c>
      <c r="B241" s="0" t="s">
        <v>478</v>
      </c>
      <c r="C241" s="5">
        <f>=HYPERLINK("https://nusmods.com/modules/BMF5391B#timetable","Timetable")</f>
      </c>
      <c r="D241" s="5"/>
      <c r="E241" s="5"/>
      <c r="F241" s="0" t="s">
        <v>28</v>
      </c>
      <c r="G241" s="0" t="s">
        <v>233</v>
      </c>
      <c r="H241" s="3">
        <v>0</v>
      </c>
    </row>
    <row r="242">
      <c r="A242" s="0" t="s">
        <v>479</v>
      </c>
      <c r="B242" s="0" t="s">
        <v>480</v>
      </c>
      <c r="C242" s="5">
        <f>=HYPERLINK("https://nusmods.com/modules/BMF5391C#timetable","Timetable")</f>
      </c>
      <c r="D242" s="5"/>
      <c r="E242" s="5">
        <f>=HYPERLINK("https://luminus.nus.edu.sg/modules/63d5a53f-3d25-43c0-8264-ff9e29cf5d29","LumiNUS course site")</f>
      </c>
      <c r="F242" s="0" t="s">
        <v>28</v>
      </c>
      <c r="G242" s="0" t="s">
        <v>233</v>
      </c>
      <c r="H242" s="3">
        <v>1</v>
      </c>
    </row>
    <row r="243">
      <c r="A243" s="0" t="s">
        <v>481</v>
      </c>
      <c r="B243" s="0" t="s">
        <v>482</v>
      </c>
      <c r="C243" s="5">
        <f>=HYPERLINK("https://nusmods.com/modules/BMF5393A#timetable","Timetable")</f>
      </c>
      <c r="D243" s="5"/>
      <c r="E243" s="5"/>
      <c r="F243" s="0" t="s">
        <v>28</v>
      </c>
      <c r="G243" s="0" t="s">
        <v>233</v>
      </c>
      <c r="H243" s="3">
        <v>17</v>
      </c>
    </row>
    <row r="244">
      <c r="A244" s="0" t="s">
        <v>483</v>
      </c>
      <c r="B244" s="0" t="s">
        <v>484</v>
      </c>
      <c r="C244" s="5">
        <f>=HYPERLINK("https://nusmods.com/modules/BMG5101#timetable","Timetable")</f>
      </c>
      <c r="D244" s="5"/>
      <c r="E244" s="5">
        <f>=HYPERLINK("https://luminus.nus.edu.sg/modules/a891c0cc-0056-454d-9e58-ce6e8240ebba","LumiNUS course site")</f>
      </c>
      <c r="F244" s="0" t="s">
        <v>28</v>
      </c>
      <c r="G244" s="0" t="s">
        <v>233</v>
      </c>
      <c r="H244" s="3">
        <v>44</v>
      </c>
    </row>
    <row r="245">
      <c r="A245" s="0" t="s">
        <v>485</v>
      </c>
      <c r="B245" s="0" t="s">
        <v>486</v>
      </c>
      <c r="C245" s="5">
        <f>=HYPERLINK("https://nusmods.com/modules/BMG5102#timetable","Timetable")</f>
      </c>
      <c r="D245" s="5">
        <f>=HYPERLINK("https://canvas.nus.edu.sg/courses/26747","Canvas course site")</f>
      </c>
      <c r="E245" s="5"/>
      <c r="F245" s="0" t="s">
        <v>28</v>
      </c>
      <c r="G245" s="0" t="s">
        <v>233</v>
      </c>
      <c r="H245" s="3">
        <v>44</v>
      </c>
    </row>
    <row r="246">
      <c r="A246" s="0" t="s">
        <v>487</v>
      </c>
      <c r="B246" s="0" t="s">
        <v>488</v>
      </c>
      <c r="C246" s="5">
        <f>=HYPERLINK("https://nusmods.com/modules/BMG5103#timetable","Timetable")</f>
      </c>
      <c r="D246" s="5">
        <f>=HYPERLINK("https://canvas.nus.edu.sg/courses/26748","Canvas course site")</f>
      </c>
      <c r="E246" s="5"/>
      <c r="F246" s="0" t="s">
        <v>28</v>
      </c>
      <c r="G246" s="0" t="s">
        <v>233</v>
      </c>
      <c r="H246" s="3">
        <v>44</v>
      </c>
    </row>
    <row r="247">
      <c r="A247" s="0" t="s">
        <v>489</v>
      </c>
      <c r="B247" s="0" t="s">
        <v>490</v>
      </c>
      <c r="C247" s="5">
        <f>=HYPERLINK("https://nusmods.com/modules/BMG5104#timetable","Timetable")</f>
      </c>
      <c r="D247" s="5">
        <f>=HYPERLINK("https://canvas.nus.edu.sg/courses/26749","Canvas course site")</f>
      </c>
      <c r="E247" s="5"/>
      <c r="F247" s="0" t="s">
        <v>28</v>
      </c>
      <c r="G247" s="0" t="s">
        <v>233</v>
      </c>
      <c r="H247" s="3">
        <v>44</v>
      </c>
    </row>
    <row r="248">
      <c r="A248" s="0" t="s">
        <v>491</v>
      </c>
      <c r="B248" s="0" t="s">
        <v>492</v>
      </c>
      <c r="C248" s="5">
        <f>=HYPERLINK("https://nusmods.com/modules/BMH5102#timetable","Timetable")</f>
      </c>
      <c r="D248" s="5">
        <f>=HYPERLINK("https://canvas.nus.edu.sg/courses/22816","Canvas course site")</f>
      </c>
      <c r="E248" s="5"/>
      <c r="F248" s="0" t="s">
        <v>28</v>
      </c>
      <c r="G248" s="0" t="s">
        <v>233</v>
      </c>
      <c r="H248" s="3">
        <v>39</v>
      </c>
    </row>
    <row r="249">
      <c r="A249" s="0" t="s">
        <v>493</v>
      </c>
      <c r="B249" s="0" t="s">
        <v>494</v>
      </c>
      <c r="C249" s="5">
        <f>=HYPERLINK("https://nusmods.com/modules/BMH5104#timetable","Timetable")</f>
      </c>
      <c r="D249" s="5">
        <f>=HYPERLINK("https://canvas.nus.edu.sg/courses/22820","Canvas course site")</f>
      </c>
      <c r="E249" s="5"/>
      <c r="F249" s="0" t="s">
        <v>28</v>
      </c>
      <c r="G249" s="0" t="s">
        <v>233</v>
      </c>
      <c r="H249" s="3">
        <v>39</v>
      </c>
    </row>
    <row r="250">
      <c r="A250" s="0" t="s">
        <v>495</v>
      </c>
      <c r="B250" s="0" t="s">
        <v>496</v>
      </c>
      <c r="C250" s="5">
        <f>=HYPERLINK("https://nusmods.com/modules/BMH5107#timetable","Timetable")</f>
      </c>
      <c r="D250" s="5"/>
      <c r="E250" s="5">
        <f>=HYPERLINK("https://luminus.nus.edu.sg/modules/e6c886d0-33a5-4a42-92a4-f90563798657","LumiNUS course site")</f>
      </c>
      <c r="F250" s="0" t="s">
        <v>28</v>
      </c>
      <c r="G250" s="0" t="s">
        <v>233</v>
      </c>
      <c r="H250" s="3">
        <v>39</v>
      </c>
    </row>
    <row r="251">
      <c r="A251" s="0" t="s">
        <v>497</v>
      </c>
      <c r="B251" s="0" t="s">
        <v>498</v>
      </c>
      <c r="C251" s="5">
        <f>=HYPERLINK("https://nusmods.com/modules/BMH5110#timetable","Timetable")</f>
      </c>
      <c r="D251" s="5">
        <f>=HYPERLINK("https://canvas.nus.edu.sg/courses/22831","Canvas course site")</f>
      </c>
      <c r="E251" s="5"/>
      <c r="F251" s="0" t="s">
        <v>28</v>
      </c>
      <c r="G251" s="0" t="s">
        <v>233</v>
      </c>
      <c r="H251" s="3">
        <v>39</v>
      </c>
    </row>
    <row r="252">
      <c r="A252" s="0" t="s">
        <v>499</v>
      </c>
      <c r="B252" s="0" t="s">
        <v>500</v>
      </c>
      <c r="C252" s="5">
        <f>=HYPERLINK("https://nusmods.com/modules/BMH5111#timetable","Timetable")</f>
      </c>
      <c r="D252" s="5"/>
      <c r="E252" s="5">
        <f>=HYPERLINK("https://luminus.nus.edu.sg/modules/5f73f95e-10bf-4942-b072-724bf3f00900","LumiNUS course site")</f>
      </c>
      <c r="F252" s="0" t="s">
        <v>28</v>
      </c>
      <c r="G252" s="0" t="s">
        <v>233</v>
      </c>
      <c r="H252" s="3">
        <v>39</v>
      </c>
    </row>
    <row r="253">
      <c r="A253" s="0" t="s">
        <v>501</v>
      </c>
      <c r="B253" s="0" t="s">
        <v>502</v>
      </c>
      <c r="C253" s="5">
        <f>=HYPERLINK("https://nusmods.com/modules/BMH5113#timetable","Timetable")</f>
      </c>
      <c r="D253" s="5">
        <f>=HYPERLINK("https://canvas.nus.edu.sg/courses/22840","Canvas course site")</f>
      </c>
      <c r="E253" s="5"/>
      <c r="F253" s="0" t="s">
        <v>28</v>
      </c>
      <c r="G253" s="0" t="s">
        <v>233</v>
      </c>
      <c r="H253" s="3">
        <v>39</v>
      </c>
    </row>
    <row r="254">
      <c r="A254" s="0" t="s">
        <v>503</v>
      </c>
      <c r="B254" s="0" t="s">
        <v>504</v>
      </c>
      <c r="C254" s="5">
        <f>=HYPERLINK("https://nusmods.com/modules/BMI5101#timetable","Timetable")</f>
      </c>
      <c r="D254" s="5">
        <f>=HYPERLINK("https://canvas.nus.edu.sg/courses/26667","Canvas course site")</f>
      </c>
      <c r="E254" s="5"/>
      <c r="F254" s="0" t="s">
        <v>90</v>
      </c>
      <c r="G254" s="0" t="s">
        <v>505</v>
      </c>
      <c r="H254" s="3">
        <v>73</v>
      </c>
    </row>
    <row r="255">
      <c r="A255" s="0" t="s">
        <v>506</v>
      </c>
      <c r="B255" s="0" t="s">
        <v>507</v>
      </c>
      <c r="C255" s="5">
        <f>=HYPERLINK("https://nusmods.com/modules/BMI5102#timetable","Timetable")</f>
      </c>
      <c r="D255" s="5">
        <f>=HYPERLINK("https://canvas.nus.edu.sg/courses/26693","Canvas course site")</f>
      </c>
      <c r="E255" s="5"/>
      <c r="F255" s="0" t="s">
        <v>90</v>
      </c>
      <c r="G255" s="0" t="s">
        <v>505</v>
      </c>
      <c r="H255" s="3">
        <v>43</v>
      </c>
    </row>
    <row r="256">
      <c r="A256" s="0" t="s">
        <v>508</v>
      </c>
      <c r="B256" s="0" t="s">
        <v>509</v>
      </c>
      <c r="C256" s="5">
        <f>=HYPERLINK("https://nusmods.com/modules/BMI5207#timetable","Timetable")</f>
      </c>
      <c r="D256" s="5">
        <f>=HYPERLINK("https://canvas.nus.edu.sg/courses/26353","Canvas course site")</f>
      </c>
      <c r="E256" s="5"/>
      <c r="F256" s="0" t="s">
        <v>90</v>
      </c>
      <c r="G256" s="0" t="s">
        <v>505</v>
      </c>
      <c r="H256" s="3">
        <v>56</v>
      </c>
    </row>
    <row r="257">
      <c r="A257" s="0" t="s">
        <v>510</v>
      </c>
      <c r="B257" s="0" t="s">
        <v>511</v>
      </c>
      <c r="C257" s="5">
        <f>=HYPERLINK("https://nusmods.com/modules/BMI5306#timetable","Timetable")</f>
      </c>
      <c r="D257" s="5">
        <f>=HYPERLINK("https://canvas.nus.edu.sg/courses/22844","Canvas course site")</f>
      </c>
      <c r="E257" s="5"/>
      <c r="F257" s="0" t="s">
        <v>90</v>
      </c>
      <c r="G257" s="0" t="s">
        <v>505</v>
      </c>
      <c r="H257" s="3">
        <v>72</v>
      </c>
    </row>
    <row r="258">
      <c r="A258" s="0" t="s">
        <v>512</v>
      </c>
      <c r="B258" s="0" t="s">
        <v>513</v>
      </c>
      <c r="C258" s="5">
        <f>=HYPERLINK("https://nusmods.com/modules/BMK5100#timetable","Timetable")</f>
      </c>
      <c r="D258" s="5">
        <f>=HYPERLINK("https://canvas.nus.edu.sg/courses/22849","Canvas course site")</f>
      </c>
      <c r="E258" s="5"/>
      <c r="F258" s="0" t="s">
        <v>28</v>
      </c>
      <c r="G258" s="0" t="s">
        <v>233</v>
      </c>
      <c r="H258" s="3">
        <v>134</v>
      </c>
    </row>
    <row r="259">
      <c r="A259" s="0" t="s">
        <v>514</v>
      </c>
      <c r="B259" s="0" t="s">
        <v>515</v>
      </c>
      <c r="C259" s="5">
        <f>=HYPERLINK("https://nusmods.com/modules/BMK5101#timetable","Timetable")</f>
      </c>
      <c r="D259" s="5">
        <f>=HYPERLINK("https://canvas.nus.edu.sg/courses/22854","Canvas course site")</f>
      </c>
      <c r="E259" s="5"/>
      <c r="F259" s="0" t="s">
        <v>28</v>
      </c>
      <c r="G259" s="0" t="s">
        <v>233</v>
      </c>
      <c r="H259" s="3">
        <v>134</v>
      </c>
    </row>
    <row r="260">
      <c r="A260" s="0" t="s">
        <v>516</v>
      </c>
      <c r="B260" s="0" t="s">
        <v>517</v>
      </c>
      <c r="C260" s="5">
        <f>=HYPERLINK("https://nusmods.com/modules/BMK5102#timetable","Timetable")</f>
      </c>
      <c r="D260" s="5">
        <f>=HYPERLINK("https://canvas.nus.edu.sg/courses/22859","Canvas course site")</f>
      </c>
      <c r="E260" s="5"/>
      <c r="F260" s="0" t="s">
        <v>28</v>
      </c>
      <c r="G260" s="0" t="s">
        <v>233</v>
      </c>
      <c r="H260" s="3">
        <v>134</v>
      </c>
    </row>
    <row r="261">
      <c r="A261" s="0" t="s">
        <v>518</v>
      </c>
      <c r="B261" s="0" t="s">
        <v>519</v>
      </c>
      <c r="C261" s="5">
        <f>=HYPERLINK("https://nusmods.com/modules/BMK5202#timetable","Timetable")</f>
      </c>
      <c r="D261" s="5">
        <f>=HYPERLINK("https://canvas.nus.edu.sg/courses/22864","Canvas course site")</f>
      </c>
      <c r="E261" s="5"/>
      <c r="F261" s="0" t="s">
        <v>28</v>
      </c>
      <c r="G261" s="0" t="s">
        <v>233</v>
      </c>
      <c r="H261" s="3">
        <v>51</v>
      </c>
    </row>
    <row r="262">
      <c r="A262" s="0" t="s">
        <v>520</v>
      </c>
      <c r="B262" s="0" t="s">
        <v>359</v>
      </c>
      <c r="C262" s="5">
        <f>=HYPERLINK("https://nusmods.com/modules/BMK5203#timetable","Timetable")</f>
      </c>
      <c r="D262" s="5">
        <f>=HYPERLINK("https://canvas.nus.edu.sg/courses/22869","Canvas course site")</f>
      </c>
      <c r="E262" s="5"/>
      <c r="F262" s="0" t="s">
        <v>28</v>
      </c>
      <c r="G262" s="0" t="s">
        <v>233</v>
      </c>
      <c r="H262" s="3">
        <v>61</v>
      </c>
    </row>
    <row r="263">
      <c r="A263" s="0" t="s">
        <v>521</v>
      </c>
      <c r="B263" s="0" t="s">
        <v>522</v>
      </c>
      <c r="C263" s="5">
        <f>=HYPERLINK("https://nusmods.com/modules/BMK5204#timetable","Timetable")</f>
      </c>
      <c r="D263" s="5">
        <f>=HYPERLINK("https://canvas.nus.edu.sg/courses/22874","Canvas course site")</f>
      </c>
      <c r="E263" s="5"/>
      <c r="F263" s="0" t="s">
        <v>28</v>
      </c>
      <c r="G263" s="0" t="s">
        <v>233</v>
      </c>
      <c r="H263" s="3">
        <v>63</v>
      </c>
    </row>
    <row r="264">
      <c r="A264" s="0" t="s">
        <v>523</v>
      </c>
      <c r="B264" s="0" t="s">
        <v>524</v>
      </c>
      <c r="C264" s="5">
        <f>=HYPERLINK("https://nusmods.com/modules/BMK5206C#timetable","Timetable")</f>
      </c>
      <c r="D264" s="5"/>
      <c r="E264" s="5">
        <f>=HYPERLINK("https://luminus.nus.edu.sg/modules/2caf624f-7269-439f-af74-6dd88e5d2d74","LumiNUS course site")</f>
      </c>
      <c r="F264" s="0" t="s">
        <v>28</v>
      </c>
      <c r="G264" s="0" t="s">
        <v>233</v>
      </c>
      <c r="H264" s="3">
        <v>31</v>
      </c>
    </row>
    <row r="265">
      <c r="A265" s="0" t="s">
        <v>525</v>
      </c>
      <c r="B265" s="0" t="s">
        <v>526</v>
      </c>
      <c r="C265" s="5">
        <f>=HYPERLINK("https://nusmods.com/modules/BMK5300A#timetable","Timetable")</f>
      </c>
      <c r="D265" s="5"/>
      <c r="E265" s="5"/>
      <c r="F265" s="0" t="s">
        <v>28</v>
      </c>
      <c r="G265" s="0" t="s">
        <v>233</v>
      </c>
      <c r="H265" s="3">
        <v>49</v>
      </c>
    </row>
    <row r="266">
      <c r="A266" s="0" t="s">
        <v>527</v>
      </c>
      <c r="B266" s="0" t="s">
        <v>528</v>
      </c>
      <c r="C266" s="5">
        <f>=HYPERLINK("https://nusmods.com/modules/BMK5300D#timetable","Timetable")</f>
      </c>
      <c r="D266" s="5"/>
      <c r="E266" s="5">
        <f>=HYPERLINK("https://luminus.nus.edu.sg/modules/f661ebb2-9736-417b-a97d-784152551565","LumiNUS course site")</f>
      </c>
      <c r="F266" s="0" t="s">
        <v>28</v>
      </c>
      <c r="G266" s="0" t="s">
        <v>233</v>
      </c>
      <c r="H266" s="3">
        <v>35</v>
      </c>
    </row>
    <row r="267">
      <c r="A267" s="0" t="s">
        <v>529</v>
      </c>
      <c r="B267" s="0" t="s">
        <v>530</v>
      </c>
      <c r="C267" s="5">
        <f>=HYPERLINK("https://nusmods.com/modules/BMK6111S#timetable","Timetable")</f>
      </c>
      <c r="D267" s="5"/>
      <c r="E267" s="5"/>
      <c r="F267" s="0" t="s">
        <v>28</v>
      </c>
      <c r="G267" s="0" t="s">
        <v>531</v>
      </c>
      <c r="H267" s="3">
        <v>0</v>
      </c>
    </row>
    <row r="268">
      <c r="A268" s="0" t="s">
        <v>532</v>
      </c>
      <c r="B268" s="0" t="s">
        <v>533</v>
      </c>
      <c r="C268" s="5">
        <f>=HYPERLINK("https://nusmods.com/modules/BMO6018A#timetable","Timetable")</f>
      </c>
      <c r="D268" s="5">
        <f>=HYPERLINK("https://canvas.nus.edu.sg/courses/22897","Canvas course site")</f>
      </c>
      <c r="E268" s="5"/>
      <c r="F268" s="0" t="s">
        <v>28</v>
      </c>
      <c r="G268" s="0" t="s">
        <v>534</v>
      </c>
      <c r="H268" s="3">
        <v>7</v>
      </c>
    </row>
    <row r="269">
      <c r="A269" s="0" t="s">
        <v>535</v>
      </c>
      <c r="B269" s="0" t="s">
        <v>536</v>
      </c>
      <c r="C269" s="5">
        <f>=HYPERLINK("https://nusmods.com/modules/BMO6024#timetable","Timetable")</f>
      </c>
      <c r="D269" s="5">
        <f>=HYPERLINK("https://canvas.nus.edu.sg/courses/22902","Canvas course site")</f>
      </c>
      <c r="E269" s="5"/>
      <c r="F269" s="0" t="s">
        <v>28</v>
      </c>
      <c r="G269" s="0" t="s">
        <v>534</v>
      </c>
      <c r="H269" s="3">
        <v>6</v>
      </c>
    </row>
    <row r="270">
      <c r="A270" s="0" t="s">
        <v>537</v>
      </c>
      <c r="B270" s="0" t="s">
        <v>538</v>
      </c>
      <c r="C270" s="5">
        <f>=HYPERLINK("https://nusmods.com/modules/BMS5105#timetable","Timetable")</f>
      </c>
      <c r="D270" s="5">
        <f>=HYPERLINK("https://canvas.nus.edu.sg/courses/22907","Canvas course site")</f>
      </c>
      <c r="E270" s="5"/>
      <c r="F270" s="0" t="s">
        <v>28</v>
      </c>
      <c r="G270" s="0" t="s">
        <v>233</v>
      </c>
      <c r="H270" s="3">
        <v>94</v>
      </c>
    </row>
    <row r="271">
      <c r="A271" s="0" t="s">
        <v>539</v>
      </c>
      <c r="B271" s="0" t="s">
        <v>540</v>
      </c>
      <c r="C271" s="5">
        <f>=HYPERLINK("https://nusmods.com/modules/BMS5110#timetable","Timetable")</f>
      </c>
      <c r="D271" s="5"/>
      <c r="E271" s="5">
        <f>=HYPERLINK("https://luminus.nus.edu.sg/modules/bf3f9732-b3c7-4ca6-b7d5-97fcd183272e","LumiNUS course site")</f>
      </c>
      <c r="F271" s="0" t="s">
        <v>28</v>
      </c>
      <c r="G271" s="0" t="s">
        <v>233</v>
      </c>
      <c r="H271" s="3">
        <v>37</v>
      </c>
    </row>
    <row r="272">
      <c r="A272" s="0" t="s">
        <v>541</v>
      </c>
      <c r="B272" s="0" t="s">
        <v>542</v>
      </c>
      <c r="C272" s="5">
        <f>=HYPERLINK("https://nusmods.com/modules/BMS5112#timetable","Timetable")</f>
      </c>
      <c r="D272" s="5"/>
      <c r="E272" s="5">
        <f>=HYPERLINK("https://luminus.nus.edu.sg/modules/4dbae380-8b22-4f50-a315-48b44681f126","LumiNUS course site")</f>
      </c>
      <c r="F272" s="0" t="s">
        <v>28</v>
      </c>
      <c r="G272" s="0" t="s">
        <v>233</v>
      </c>
      <c r="H272" s="3">
        <v>48</v>
      </c>
    </row>
    <row r="273">
      <c r="A273" s="0" t="s">
        <v>543</v>
      </c>
      <c r="B273" s="0" t="s">
        <v>544</v>
      </c>
      <c r="C273" s="5">
        <f>=HYPERLINK("https://nusmods.com/modules/BMS5117#timetable","Timetable")</f>
      </c>
      <c r="D273" s="5"/>
      <c r="E273" s="5">
        <f>=HYPERLINK("https://luminus.nus.edu.sg/modules/d5652a00-c6e9-4181-bb75-6ecb0bf83c9f","LumiNUS course site")</f>
      </c>
      <c r="F273" s="0" t="s">
        <v>28</v>
      </c>
      <c r="G273" s="0" t="s">
        <v>233</v>
      </c>
      <c r="H273" s="3">
        <v>42</v>
      </c>
    </row>
    <row r="274">
      <c r="A274" s="0" t="s">
        <v>545</v>
      </c>
      <c r="B274" s="0" t="s">
        <v>546</v>
      </c>
      <c r="C274" s="5">
        <f>=HYPERLINK("https://nusmods.com/modules/BMS5118#timetable","Timetable")</f>
      </c>
      <c r="D274" s="5"/>
      <c r="E274" s="5">
        <f>=HYPERLINK("https://luminus.nus.edu.sg/modules/fadb4490-c558-4ad1-89e3-a258c2bbf542","LumiNUS course site")</f>
      </c>
      <c r="F274" s="0" t="s">
        <v>28</v>
      </c>
      <c r="G274" s="0" t="s">
        <v>233</v>
      </c>
      <c r="H274" s="3">
        <v>42</v>
      </c>
    </row>
    <row r="275">
      <c r="A275" s="0" t="s">
        <v>547</v>
      </c>
      <c r="B275" s="0" t="s">
        <v>548</v>
      </c>
      <c r="C275" s="5">
        <f>=HYPERLINK("https://nusmods.com/modules/BMS5119#timetable","Timetable")</f>
      </c>
      <c r="D275" s="5">
        <f>=HYPERLINK("https://canvas.nus.edu.sg/courses/22931","Canvas course site")</f>
      </c>
      <c r="E275" s="5"/>
      <c r="F275" s="0" t="s">
        <v>28</v>
      </c>
      <c r="G275" s="0" t="s">
        <v>233</v>
      </c>
      <c r="H275" s="3">
        <v>49</v>
      </c>
    </row>
    <row r="276">
      <c r="A276" s="0" t="s">
        <v>549</v>
      </c>
      <c r="B276" s="0" t="s">
        <v>550</v>
      </c>
      <c r="C276" s="5">
        <f>=HYPERLINK("https://nusmods.com/modules/BMS5123S#timetable","Timetable")</f>
      </c>
      <c r="D276" s="5"/>
      <c r="E276" s="5">
        <f>=HYPERLINK("https://luminus.nus.edu.sg/modules/fe63c9fd-0372-4b9e-b678-5cc8c81db339","LumiNUS course site")</f>
      </c>
      <c r="F276" s="0" t="s">
        <v>28</v>
      </c>
      <c r="G276" s="0" t="s">
        <v>233</v>
      </c>
      <c r="H276" s="3">
        <v>37</v>
      </c>
    </row>
    <row r="277">
      <c r="A277" s="0" t="s">
        <v>551</v>
      </c>
      <c r="B277" s="0" t="s">
        <v>552</v>
      </c>
      <c r="C277" s="5">
        <f>=HYPERLINK("https://nusmods.com/modules/BMS5205#timetable","Timetable")</f>
      </c>
      <c r="D277" s="5"/>
      <c r="E277" s="5">
        <f>=HYPERLINK("https://luminus.nus.edu.sg/modules/b552088c-1517-4d09-9136-671d94312d6a","LumiNUS course site")</f>
      </c>
      <c r="F277" s="0" t="s">
        <v>28</v>
      </c>
      <c r="G277" s="0" t="s">
        <v>233</v>
      </c>
      <c r="H277" s="3">
        <v>73</v>
      </c>
    </row>
    <row r="278">
      <c r="A278" s="0" t="s">
        <v>553</v>
      </c>
      <c r="B278" s="0" t="s">
        <v>554</v>
      </c>
      <c r="C278" s="5">
        <f>=HYPERLINK("https://nusmods.com/modules/BMS5208#timetable","Timetable")</f>
      </c>
      <c r="D278" s="5">
        <f>=HYPERLINK("https://canvas.nus.edu.sg/courses/22946","Canvas course site")</f>
      </c>
      <c r="E278" s="5"/>
      <c r="F278" s="0" t="s">
        <v>28</v>
      </c>
      <c r="G278" s="0" t="s">
        <v>233</v>
      </c>
      <c r="H278" s="3">
        <v>42</v>
      </c>
    </row>
    <row r="279">
      <c r="A279" s="0" t="s">
        <v>555</v>
      </c>
      <c r="B279" s="0" t="s">
        <v>556</v>
      </c>
      <c r="C279" s="5">
        <f>=HYPERLINK("https://nusmods.com/modules/BMS5209#timetable","Timetable")</f>
      </c>
      <c r="D279" s="5"/>
      <c r="E279" s="5">
        <f>=HYPERLINK("https://luminus.nus.edu.sg/modules/6c75048d-1b9b-4b61-92a3-ccbba3bbae35","LumiNUS course site")</f>
      </c>
      <c r="F279" s="0" t="s">
        <v>28</v>
      </c>
      <c r="G279" s="0" t="s">
        <v>233</v>
      </c>
      <c r="H279" s="3">
        <v>50</v>
      </c>
    </row>
    <row r="280">
      <c r="A280" s="0" t="s">
        <v>557</v>
      </c>
      <c r="B280" s="0" t="s">
        <v>558</v>
      </c>
      <c r="C280" s="5">
        <f>=HYPERLINK("https://nusmods.com/modules/BMS5307#timetable","Timetable")</f>
      </c>
      <c r="D280" s="5">
        <f>=HYPERLINK("https://canvas.nus.edu.sg/courses/22956","Canvas course site")</f>
      </c>
      <c r="E280" s="5"/>
      <c r="F280" s="0" t="s">
        <v>28</v>
      </c>
      <c r="G280" s="0" t="s">
        <v>233</v>
      </c>
      <c r="H280" s="3">
        <v>50</v>
      </c>
    </row>
    <row r="281">
      <c r="A281" s="0" t="s">
        <v>559</v>
      </c>
      <c r="B281" s="0" t="s">
        <v>560</v>
      </c>
      <c r="C281" s="5">
        <f>=HYPERLINK("https://nusmods.com/modules/BMS5310#timetable","Timetable")</f>
      </c>
      <c r="D281" s="5"/>
      <c r="E281" s="5">
        <f>=HYPERLINK("https://luminus.nus.edu.sg/modules/af8157b3-942d-4410-b583-2764dc3c016a","LumiNUS course site")</f>
      </c>
      <c r="F281" s="0" t="s">
        <v>28</v>
      </c>
      <c r="G281" s="0" t="s">
        <v>233</v>
      </c>
      <c r="H281" s="3">
        <v>25</v>
      </c>
    </row>
    <row r="282">
      <c r="A282" s="0" t="s">
        <v>561</v>
      </c>
      <c r="B282" s="0" t="s">
        <v>562</v>
      </c>
      <c r="C282" s="5">
        <f>=HYPERLINK("https://nusmods.com/modules/BMS5405S#timetable","Timetable")</f>
      </c>
      <c r="D282" s="5">
        <f>=HYPERLINK("https://canvas.nus.edu.sg/courses/22966","Canvas course site")</f>
      </c>
      <c r="E282" s="5"/>
      <c r="F282" s="0" t="s">
        <v>28</v>
      </c>
      <c r="G282" s="0" t="s">
        <v>233</v>
      </c>
      <c r="H282" s="3">
        <v>110</v>
      </c>
    </row>
    <row r="283">
      <c r="A283" s="0" t="s">
        <v>563</v>
      </c>
      <c r="B283" s="0" t="s">
        <v>564</v>
      </c>
      <c r="C283" s="5">
        <f>=HYPERLINK("https://nusmods.com/modules/BMS5408#timetable","Timetable")</f>
      </c>
      <c r="D283" s="5">
        <f>=HYPERLINK("https://canvas.nus.edu.sg/courses/22971","Canvas course site")</f>
      </c>
      <c r="E283" s="5"/>
      <c r="F283" s="0" t="s">
        <v>28</v>
      </c>
      <c r="G283" s="0" t="s">
        <v>233</v>
      </c>
      <c r="H283" s="3">
        <v>40</v>
      </c>
    </row>
    <row r="284">
      <c r="A284" s="0" t="s">
        <v>565</v>
      </c>
      <c r="B284" s="0" t="s">
        <v>566</v>
      </c>
      <c r="C284" s="5">
        <f>=HYPERLINK("https://nusmods.com/modules/BMS5410#timetable","Timetable")</f>
      </c>
      <c r="D284" s="5"/>
      <c r="E284" s="5">
        <f>=HYPERLINK("https://luminus.nus.edu.sg/modules/f9206cac-a20d-4d13-9d3a-4abe97e6fd3d","LumiNUS course site")</f>
      </c>
      <c r="F284" s="0" t="s">
        <v>28</v>
      </c>
      <c r="G284" s="0" t="s">
        <v>233</v>
      </c>
      <c r="H284" s="3">
        <v>44</v>
      </c>
    </row>
    <row r="285">
      <c r="A285" s="0" t="s">
        <v>567</v>
      </c>
      <c r="B285" s="0" t="s">
        <v>568</v>
      </c>
      <c r="C285" s="5">
        <f>=HYPERLINK("https://nusmods.com/modules/BMS5414#timetable","Timetable")</f>
      </c>
      <c r="D285" s="5"/>
      <c r="E285" s="5">
        <f>=HYPERLINK("https://luminus.nus.edu.sg/modules/1c88088c-56c0-4ccc-934a-7fe19c1b02cc","LumiNUS course site")</f>
      </c>
      <c r="F285" s="0" t="s">
        <v>28</v>
      </c>
      <c r="G285" s="0" t="s">
        <v>233</v>
      </c>
      <c r="H285" s="3">
        <v>33</v>
      </c>
    </row>
    <row r="286">
      <c r="A286" s="0" t="s">
        <v>569</v>
      </c>
      <c r="B286" s="0" t="s">
        <v>515</v>
      </c>
      <c r="C286" s="5">
        <f>=HYPERLINK("https://nusmods.com/modules/BMS5505#timetable","Timetable")</f>
      </c>
      <c r="D286" s="5">
        <f>=HYPERLINK("https://canvas.nus.edu.sg/courses/22986","Canvas course site")</f>
      </c>
      <c r="E286" s="5"/>
      <c r="F286" s="0" t="s">
        <v>28</v>
      </c>
      <c r="G286" s="0" t="s">
        <v>233</v>
      </c>
      <c r="H286" s="3">
        <v>58</v>
      </c>
    </row>
    <row r="287">
      <c r="A287" s="0" t="s">
        <v>570</v>
      </c>
      <c r="B287" s="0" t="s">
        <v>571</v>
      </c>
      <c r="C287" s="5">
        <f>=HYPERLINK("https://nusmods.com/modules/BMS5513#timetable","Timetable")</f>
      </c>
      <c r="D287" s="5">
        <f>=HYPERLINK("https://canvas.nus.edu.sg/courses/22991","Canvas course site")</f>
      </c>
      <c r="E287" s="5">
        <f>=HYPERLINK("https://luminus.nus.edu.sg/modules/59ef5e1a-554e-4946-bc0b-96542a47867c","LumiNUS course site")</f>
      </c>
      <c r="F287" s="0" t="s">
        <v>28</v>
      </c>
      <c r="G287" s="0" t="s">
        <v>233</v>
      </c>
      <c r="H287" s="3">
        <v>123</v>
      </c>
    </row>
    <row r="288">
      <c r="A288" s="0" t="s">
        <v>572</v>
      </c>
      <c r="B288" s="0" t="s">
        <v>573</v>
      </c>
      <c r="C288" s="5">
        <f>=HYPERLINK("https://nusmods.com/modules/BMS5515#timetable","Timetable")</f>
      </c>
      <c r="D288" s="5">
        <f>=HYPERLINK("https://canvas.nus.edu.sg/courses/22996","Canvas course site")</f>
      </c>
      <c r="E288" s="5"/>
      <c r="F288" s="0" t="s">
        <v>28</v>
      </c>
      <c r="G288" s="0" t="s">
        <v>233</v>
      </c>
      <c r="H288" s="3">
        <v>61</v>
      </c>
    </row>
    <row r="289">
      <c r="A289" s="0" t="s">
        <v>574</v>
      </c>
      <c r="B289" s="0" t="s">
        <v>575</v>
      </c>
      <c r="C289" s="5">
        <f>=HYPERLINK("https://nusmods.com/modules/BMS5802#timetable","Timetable")</f>
      </c>
      <c r="D289" s="5">
        <f>=HYPERLINK("https://canvas.nus.edu.sg/courses/23006","Canvas course site")</f>
      </c>
      <c r="E289" s="5"/>
      <c r="F289" s="0" t="s">
        <v>28</v>
      </c>
      <c r="G289" s="0" t="s">
        <v>233</v>
      </c>
      <c r="H289" s="3">
        <v>36</v>
      </c>
    </row>
    <row r="290">
      <c r="A290" s="0" t="s">
        <v>576</v>
      </c>
      <c r="B290" s="0" t="s">
        <v>577</v>
      </c>
      <c r="C290" s="5">
        <f>=HYPERLINK("https://nusmods.com/modules/BMS5900A#timetable","Timetable")</f>
      </c>
      <c r="D290" s="5"/>
      <c r="E290" s="5">
        <f>=HYPERLINK("https://luminus.nus.edu.sg/modules/e5d8c4d2-6245-47b4-8735-64c4ae94f83a","LumiNUS course site")</f>
      </c>
      <c r="F290" s="0" t="s">
        <v>28</v>
      </c>
      <c r="G290" s="0" t="s">
        <v>233</v>
      </c>
      <c r="H290" s="3">
        <v>46</v>
      </c>
    </row>
    <row r="291">
      <c r="A291" s="0" t="s">
        <v>578</v>
      </c>
      <c r="B291" s="0" t="s">
        <v>376</v>
      </c>
      <c r="C291" s="5">
        <f>=HYPERLINK("https://nusmods.com/modules/BMS5902#timetable","Timetable")</f>
      </c>
      <c r="D291" s="5"/>
      <c r="E291" s="5"/>
      <c r="F291" s="0" t="s">
        <v>28</v>
      </c>
      <c r="G291" s="0" t="s">
        <v>233</v>
      </c>
      <c r="H291" s="3">
        <v>0</v>
      </c>
    </row>
    <row r="292">
      <c r="A292" s="0" t="s">
        <v>579</v>
      </c>
      <c r="B292" s="0" t="s">
        <v>580</v>
      </c>
      <c r="C292" s="5">
        <f>=HYPERLINK("https://nusmods.com/modules/BMT5100#timetable","Timetable")</f>
      </c>
      <c r="D292" s="5">
        <f>=HYPERLINK("https://canvas.nus.edu.sg/courses/23022","Canvas course site")</f>
      </c>
      <c r="E292" s="5"/>
      <c r="F292" s="0" t="s">
        <v>28</v>
      </c>
      <c r="G292" s="0" t="s">
        <v>233</v>
      </c>
      <c r="H292" s="3">
        <v>55</v>
      </c>
    </row>
    <row r="293">
      <c r="A293" s="0" t="s">
        <v>581</v>
      </c>
      <c r="B293" s="0" t="s">
        <v>582</v>
      </c>
      <c r="C293" s="5">
        <f>=HYPERLINK("https://nusmods.com/modules/BMT5101#timetable","Timetable")</f>
      </c>
      <c r="D293" s="5">
        <f>=HYPERLINK("https://canvas.nus.edu.sg/courses/23028","Canvas course site")</f>
      </c>
      <c r="E293" s="5"/>
      <c r="F293" s="0" t="s">
        <v>28</v>
      </c>
      <c r="G293" s="0" t="s">
        <v>233</v>
      </c>
      <c r="H293" s="3">
        <v>55</v>
      </c>
    </row>
    <row r="294">
      <c r="A294" s="0" t="s">
        <v>583</v>
      </c>
      <c r="B294" s="0" t="s">
        <v>584</v>
      </c>
      <c r="C294" s="5">
        <f>=HYPERLINK("https://nusmods.com/modules/BMT5102#timetable","Timetable")</f>
      </c>
      <c r="D294" s="5"/>
      <c r="E294" s="5">
        <f>=HYPERLINK("https://luminus.nus.edu.sg/modules/44307ed9-d15a-4155-ad63-81c2f922c9e7","LumiNUS course site")</f>
      </c>
      <c r="F294" s="0" t="s">
        <v>28</v>
      </c>
      <c r="G294" s="0" t="s">
        <v>233</v>
      </c>
      <c r="H294" s="3">
        <v>56</v>
      </c>
    </row>
    <row r="295">
      <c r="A295" s="0" t="s">
        <v>585</v>
      </c>
      <c r="B295" s="0" t="s">
        <v>586</v>
      </c>
      <c r="C295" s="5">
        <f>=HYPERLINK("https://nusmods.com/modules/BMT5103#timetable","Timetable")</f>
      </c>
      <c r="D295" s="5">
        <f>=HYPERLINK("https://canvas.nus.edu.sg/courses/23038","Canvas course site")</f>
      </c>
      <c r="E295" s="5"/>
      <c r="F295" s="0" t="s">
        <v>28</v>
      </c>
      <c r="G295" s="0" t="s">
        <v>233</v>
      </c>
      <c r="H295" s="3">
        <v>55</v>
      </c>
    </row>
    <row r="296">
      <c r="A296" s="0" t="s">
        <v>587</v>
      </c>
      <c r="B296" s="0" t="s">
        <v>476</v>
      </c>
      <c r="C296" s="5">
        <f>=HYPERLINK("https://nusmods.com/modules/BMT5301A#timetable","Timetable")</f>
      </c>
      <c r="D296" s="5"/>
      <c r="E296" s="5"/>
      <c r="F296" s="0" t="s">
        <v>28</v>
      </c>
      <c r="G296" s="0" t="s">
        <v>233</v>
      </c>
      <c r="H296" s="3">
        <v>6</v>
      </c>
    </row>
    <row r="297">
      <c r="A297" s="0" t="s">
        <v>588</v>
      </c>
      <c r="B297" s="0" t="s">
        <v>589</v>
      </c>
      <c r="C297" s="5">
        <f>=HYPERLINK("https://nusmods.com/modules/BMT5400#timetable","Timetable")</f>
      </c>
      <c r="D297" s="5">
        <f>=HYPERLINK("https://canvas.nus.edu.sg/courses/35318","Canvas course site")</f>
      </c>
      <c r="E297" s="5"/>
      <c r="F297" s="0" t="s">
        <v>28</v>
      </c>
      <c r="G297" s="0" t="s">
        <v>233</v>
      </c>
      <c r="H297" s="3">
        <v>1</v>
      </c>
    </row>
    <row r="298">
      <c r="A298" s="0" t="s">
        <v>590</v>
      </c>
      <c r="B298" s="0" t="s">
        <v>591</v>
      </c>
      <c r="C298" s="5">
        <f>=HYPERLINK("https://nusmods.com/modules/BMT5401#timetable","Timetable")</f>
      </c>
      <c r="D298" s="5"/>
      <c r="E298" s="5"/>
      <c r="F298" s="0" t="s">
        <v>28</v>
      </c>
      <c r="G298" s="0" t="s">
        <v>233</v>
      </c>
      <c r="H298" s="3">
        <v>1</v>
      </c>
    </row>
    <row r="299">
      <c r="A299" s="0" t="s">
        <v>592</v>
      </c>
      <c r="B299" s="0" t="s">
        <v>593</v>
      </c>
      <c r="C299" s="5">
        <f>=HYPERLINK("https://nusmods.com/modules/BMU5007#timetable","Timetable")</f>
      </c>
      <c r="D299" s="5"/>
      <c r="E299" s="5"/>
      <c r="F299" s="0" t="s">
        <v>28</v>
      </c>
      <c r="G299" s="0" t="s">
        <v>233</v>
      </c>
      <c r="H299" s="3">
        <v>0</v>
      </c>
    </row>
    <row r="300">
      <c r="A300" s="0" t="s">
        <v>594</v>
      </c>
      <c r="B300" s="0" t="s">
        <v>595</v>
      </c>
      <c r="C300" s="5">
        <f>=HYPERLINK("https://nusmods.com/modules/BMU5015#timetable","Timetable")</f>
      </c>
      <c r="D300" s="5"/>
      <c r="E300" s="5">
        <f>=HYPERLINK("https://luminus.nus.edu.sg/modules/66334cc9-4ef4-4668-acb8-e4c7fcbb3e52","LumiNUS course site")</f>
      </c>
      <c r="F300" s="0" t="s">
        <v>28</v>
      </c>
      <c r="G300" s="0" t="s">
        <v>233</v>
      </c>
      <c r="H300" s="3">
        <v>0</v>
      </c>
    </row>
    <row r="301">
      <c r="A301" s="0" t="s">
        <v>596</v>
      </c>
      <c r="B301" s="0" t="s">
        <v>597</v>
      </c>
      <c r="C301" s="5">
        <f>=HYPERLINK("https://nusmods.com/modules/BMU5018#timetable","Timetable")</f>
      </c>
      <c r="D301" s="5"/>
      <c r="E301" s="5"/>
      <c r="F301" s="0" t="s">
        <v>28</v>
      </c>
      <c r="G301" s="0" t="s">
        <v>233</v>
      </c>
      <c r="H301" s="3">
        <v>0</v>
      </c>
    </row>
    <row r="302">
      <c r="A302" s="0" t="s">
        <v>598</v>
      </c>
      <c r="B302" s="0" t="s">
        <v>599</v>
      </c>
      <c r="C302" s="5">
        <f>=HYPERLINK("https://nusmods.com/modules/BN1111#timetable","Timetable")</f>
      </c>
      <c r="D302" s="5"/>
      <c r="E302" s="5">
        <f>=HYPERLINK("https://luminus.nus.edu.sg/modules/7cb55e67-e84e-4246-9ffc-a8ec12b135c7","LumiNUS course site")</f>
      </c>
      <c r="F302" s="0" t="s">
        <v>10</v>
      </c>
      <c r="G302" s="0" t="s">
        <v>600</v>
      </c>
      <c r="H302" s="3">
        <v>192</v>
      </c>
    </row>
    <row r="303">
      <c r="A303" s="0" t="s">
        <v>601</v>
      </c>
      <c r="B303" s="0" t="s">
        <v>602</v>
      </c>
      <c r="C303" s="5">
        <f>=HYPERLINK("https://nusmods.com/modules/BN2001#timetable","Timetable")</f>
      </c>
      <c r="D303" s="5"/>
      <c r="E303" s="5"/>
      <c r="F303" s="0" t="s">
        <v>10</v>
      </c>
      <c r="G303" s="0" t="s">
        <v>600</v>
      </c>
      <c r="H303" s="3">
        <v>1</v>
      </c>
    </row>
    <row r="304">
      <c r="A304" s="0" t="s">
        <v>603</v>
      </c>
      <c r="B304" s="0" t="s">
        <v>604</v>
      </c>
      <c r="C304" s="5">
        <f>=HYPERLINK("https://nusmods.com/modules/BN2301#timetable","Timetable")</f>
      </c>
      <c r="D304" s="5"/>
      <c r="E304" s="5">
        <f>=HYPERLINK("https://luminus.nus.edu.sg/modules/eb9ae44e-4b77-4d2b-a0ef-4bdf684f2a38","LumiNUS course site")</f>
      </c>
      <c r="F304" s="0" t="s">
        <v>10</v>
      </c>
      <c r="G304" s="0" t="s">
        <v>600</v>
      </c>
      <c r="H304" s="3">
        <v>171</v>
      </c>
    </row>
    <row r="305">
      <c r="A305" s="0" t="s">
        <v>605</v>
      </c>
      <c r="B305" s="0" t="s">
        <v>606</v>
      </c>
      <c r="C305" s="5">
        <f>=HYPERLINK("https://nusmods.com/modules/BN2403#timetable","Timetable")</f>
      </c>
      <c r="D305" s="5"/>
      <c r="E305" s="5">
        <f>=HYPERLINK("https://luminus.nus.edu.sg/modules/68a28ab2-8292-46f7-83f0-245e6cb44619","LumiNUS course site")</f>
      </c>
      <c r="F305" s="0" t="s">
        <v>10</v>
      </c>
      <c r="G305" s="0" t="s">
        <v>600</v>
      </c>
      <c r="H305" s="3">
        <v>173</v>
      </c>
    </row>
    <row r="306">
      <c r="A306" s="0" t="s">
        <v>607</v>
      </c>
      <c r="B306" s="0" t="s">
        <v>608</v>
      </c>
      <c r="C306" s="5">
        <f>=HYPERLINK("https://nusmods.com/modules/BN3101#timetable","Timetable")</f>
      </c>
      <c r="D306" s="5"/>
      <c r="E306" s="5">
        <f>=HYPERLINK("https://luminus.nus.edu.sg/modules/6db88f73-491e-4fc0-8edd-03c096d704fd","LumiNUS course site")</f>
      </c>
      <c r="F306" s="0" t="s">
        <v>10</v>
      </c>
      <c r="G306" s="0" t="s">
        <v>600</v>
      </c>
      <c r="H306" s="3">
        <v>77</v>
      </c>
    </row>
    <row r="307">
      <c r="A307" s="0" t="s">
        <v>609</v>
      </c>
      <c r="B307" s="0" t="s">
        <v>610</v>
      </c>
      <c r="C307" s="5">
        <f>=HYPERLINK("https://nusmods.com/modules/BN3202#timetable","Timetable")</f>
      </c>
      <c r="D307" s="5">
        <f>=HYPERLINK("https://canvas.nus.edu.sg/courses/23085","Canvas course site")</f>
      </c>
      <c r="E307" s="5"/>
      <c r="F307" s="0" t="s">
        <v>10</v>
      </c>
      <c r="G307" s="0" t="s">
        <v>600</v>
      </c>
      <c r="H307" s="3">
        <v>34</v>
      </c>
    </row>
    <row r="308">
      <c r="A308" s="0" t="s">
        <v>611</v>
      </c>
      <c r="B308" s="0" t="s">
        <v>612</v>
      </c>
      <c r="C308" s="5">
        <f>=HYPERLINK("https://nusmods.com/modules/BN4101#timetable","Timetable")</f>
      </c>
      <c r="D308" s="5"/>
      <c r="E308" s="5">
        <f>=HYPERLINK("https://luminus.nus.edu.sg/modules/ed9ec00c-e9f2-4d8e-a323-28d4e75b6945","LumiNUS course site")</f>
      </c>
      <c r="F308" s="0" t="s">
        <v>10</v>
      </c>
      <c r="G308" s="0" t="s">
        <v>600</v>
      </c>
      <c r="H308" s="3">
        <v>128</v>
      </c>
    </row>
    <row r="309">
      <c r="A309" s="0" t="s">
        <v>613</v>
      </c>
      <c r="B309" s="0" t="s">
        <v>614</v>
      </c>
      <c r="C309" s="5">
        <f>=HYPERLINK("https://nusmods.com/modules/BN4103#timetable","Timetable")</f>
      </c>
      <c r="D309" s="5">
        <f>=HYPERLINK("https://canvas.nus.edu.sg/courses/23095","Canvas course site")</f>
      </c>
      <c r="E309" s="5"/>
      <c r="F309" s="0" t="s">
        <v>10</v>
      </c>
      <c r="G309" s="0" t="s">
        <v>600</v>
      </c>
      <c r="H309" s="3">
        <v>49</v>
      </c>
    </row>
    <row r="310">
      <c r="A310" s="0" t="s">
        <v>615</v>
      </c>
      <c r="B310" s="0" t="s">
        <v>616</v>
      </c>
      <c r="C310" s="5">
        <f>=HYPERLINK("https://nusmods.com/modules/BN4301#timetable","Timetable")</f>
      </c>
      <c r="D310" s="5"/>
      <c r="E310" s="5">
        <f>=HYPERLINK("https://luminus.nus.edu.sg/modules/b501fb82-3d0e-40b9-8543-f0fcddb6cf20","LumiNUS course site")</f>
      </c>
      <c r="F310" s="0" t="s">
        <v>10</v>
      </c>
      <c r="G310" s="0" t="s">
        <v>600</v>
      </c>
      <c r="H310" s="3">
        <v>45</v>
      </c>
    </row>
    <row r="311">
      <c r="A311" s="0" t="s">
        <v>617</v>
      </c>
      <c r="B311" s="0" t="s">
        <v>618</v>
      </c>
      <c r="C311" s="5">
        <f>=HYPERLINK("https://nusmods.com/modules/BN4302#timetable","Timetable")</f>
      </c>
      <c r="D311" s="5">
        <f>=HYPERLINK("https://canvas.nus.edu.sg/courses/26856","Canvas course site")</f>
      </c>
      <c r="E311" s="5"/>
      <c r="F311" s="0" t="s">
        <v>10</v>
      </c>
      <c r="G311" s="0" t="s">
        <v>600</v>
      </c>
      <c r="H311" s="3">
        <v>62</v>
      </c>
    </row>
    <row r="312">
      <c r="A312" s="0" t="s">
        <v>619</v>
      </c>
      <c r="B312" s="0" t="s">
        <v>620</v>
      </c>
      <c r="C312" s="5">
        <f>=HYPERLINK("https://nusmods.com/modules/BN4403#timetable","Timetable")</f>
      </c>
      <c r="D312" s="5">
        <f>=HYPERLINK("https://canvas.nus.edu.sg/courses/23104","Canvas course site")</f>
      </c>
      <c r="E312" s="5"/>
      <c r="F312" s="0" t="s">
        <v>10</v>
      </c>
      <c r="G312" s="0" t="s">
        <v>600</v>
      </c>
      <c r="H312" s="3">
        <v>14</v>
      </c>
    </row>
    <row r="313">
      <c r="A313" s="0" t="s">
        <v>621</v>
      </c>
      <c r="B313" s="0" t="s">
        <v>622</v>
      </c>
      <c r="C313" s="5">
        <f>=HYPERLINK("https://nusmods.com/modules/BN4501#timetable","Timetable")</f>
      </c>
      <c r="D313" s="5"/>
      <c r="E313" s="5">
        <f>=HYPERLINK("https://luminus.nus.edu.sg/modules/33ee0b29-142f-435c-9ca3-e4b7649fea6d","LumiNUS course site")</f>
      </c>
      <c r="F313" s="0" t="s">
        <v>10</v>
      </c>
      <c r="G313" s="0" t="s">
        <v>600</v>
      </c>
      <c r="H313" s="3">
        <v>34</v>
      </c>
    </row>
    <row r="314">
      <c r="A314" s="0" t="s">
        <v>623</v>
      </c>
      <c r="B314" s="0" t="s">
        <v>624</v>
      </c>
      <c r="C314" s="5">
        <f>=HYPERLINK("https://nusmods.com/modules/BN4701#timetable","Timetable")</f>
      </c>
      <c r="D314" s="5">
        <f>=HYPERLINK("https://canvas.nus.edu.sg/courses/23114","Canvas course site")</f>
      </c>
      <c r="E314" s="5"/>
      <c r="F314" s="0" t="s">
        <v>10</v>
      </c>
      <c r="G314" s="0" t="s">
        <v>600</v>
      </c>
      <c r="H314" s="3">
        <v>38</v>
      </c>
    </row>
    <row r="315">
      <c r="A315" s="0" t="s">
        <v>625</v>
      </c>
      <c r="B315" s="0" t="s">
        <v>626</v>
      </c>
      <c r="C315" s="5">
        <f>=HYPERLINK("https://nusmods.com/modules/BN5001#timetable","Timetable")</f>
      </c>
      <c r="D315" s="5"/>
      <c r="E315" s="5"/>
      <c r="F315" s="0" t="s">
        <v>10</v>
      </c>
      <c r="G315" s="0" t="s">
        <v>600</v>
      </c>
      <c r="H315" s="3">
        <v>0</v>
      </c>
    </row>
    <row r="316">
      <c r="A316" s="0" t="s">
        <v>627</v>
      </c>
      <c r="B316" s="0" t="s">
        <v>628</v>
      </c>
      <c r="C316" s="5">
        <f>=HYPERLINK("https://nusmods.com/modules/BN5101#timetable","Timetable")</f>
      </c>
      <c r="D316" s="5"/>
      <c r="E316" s="5">
        <f>=HYPERLINK("https://luminus.nus.edu.sg/modules/523e5abc-7fc7-4927-becd-a5aebba397ff","LumiNUS course site")</f>
      </c>
      <c r="F316" s="0" t="s">
        <v>10</v>
      </c>
      <c r="G316" s="0" t="s">
        <v>600</v>
      </c>
      <c r="H316" s="3">
        <v>42</v>
      </c>
    </row>
    <row r="317">
      <c r="A317" s="0" t="s">
        <v>629</v>
      </c>
      <c r="B317" s="0" t="s">
        <v>630</v>
      </c>
      <c r="C317" s="5">
        <f>=HYPERLINK("https://nusmods.com/modules/BN5104#timetable","Timetable")</f>
      </c>
      <c r="D317" s="5"/>
      <c r="E317" s="5">
        <f>=HYPERLINK("https://luminus.nus.edu.sg/modules/aac085f0-4492-459c-ad41-675a57b6556b","LumiNUS course site")</f>
      </c>
      <c r="F317" s="0" t="s">
        <v>10</v>
      </c>
      <c r="G317" s="0" t="s">
        <v>600</v>
      </c>
      <c r="H317" s="3">
        <v>59</v>
      </c>
    </row>
    <row r="318">
      <c r="A318" s="0" t="s">
        <v>631</v>
      </c>
      <c r="B318" s="0" t="s">
        <v>632</v>
      </c>
      <c r="C318" s="5">
        <f>=HYPERLINK("https://nusmods.com/modules/BN5208#timetable","Timetable")</f>
      </c>
      <c r="D318" s="5"/>
      <c r="E318" s="5">
        <f>=HYPERLINK("https://luminus.nus.edu.sg/modules/7a51d736-04d8-47c3-81a4-86951b2de772","LumiNUS course site")</f>
      </c>
      <c r="F318" s="0" t="s">
        <v>10</v>
      </c>
      <c r="G318" s="0" t="s">
        <v>600</v>
      </c>
      <c r="H318" s="3">
        <v>59</v>
      </c>
    </row>
    <row r="319">
      <c r="A319" s="0" t="s">
        <v>633</v>
      </c>
      <c r="B319" s="0" t="s">
        <v>634</v>
      </c>
      <c r="C319" s="5">
        <f>=HYPERLINK("https://nusmods.com/modules/BN5210#timetable","Timetable")</f>
      </c>
      <c r="D319" s="5"/>
      <c r="E319" s="5">
        <f>=HYPERLINK("https://luminus.nus.edu.sg/modules/097d5c64-97c8-4858-82d9-410ef8b52735","LumiNUS course site")</f>
      </c>
      <c r="F319" s="0" t="s">
        <v>10</v>
      </c>
      <c r="G319" s="0" t="s">
        <v>600</v>
      </c>
      <c r="H319" s="3">
        <v>40</v>
      </c>
    </row>
    <row r="320">
      <c r="A320" s="0" t="s">
        <v>635</v>
      </c>
      <c r="B320" s="0" t="s">
        <v>618</v>
      </c>
      <c r="C320" s="5">
        <f>=HYPERLINK("https://nusmods.com/modules/BN5302#timetable","Timetable")</f>
      </c>
      <c r="D320" s="5">
        <f>=HYPERLINK("https://canvas.nus.edu.sg/courses/26711","Canvas course site")</f>
      </c>
      <c r="E320" s="5"/>
      <c r="F320" s="0" t="s">
        <v>10</v>
      </c>
      <c r="G320" s="0" t="s">
        <v>600</v>
      </c>
      <c r="H320" s="3">
        <v>11</v>
      </c>
    </row>
    <row r="321">
      <c r="A321" s="0" t="s">
        <v>636</v>
      </c>
      <c r="B321" s="0" t="s">
        <v>637</v>
      </c>
      <c r="C321" s="5">
        <f>=HYPERLINK("https://nusmods.com/modules/BN5501#timetable","Timetable")</f>
      </c>
      <c r="D321" s="5"/>
      <c r="E321" s="5">
        <f>=HYPERLINK("https://luminus.nus.edu.sg/modules/97198553-4a35-4cae-95eb-a835b66c6f34","LumiNUS course site")</f>
      </c>
      <c r="F321" s="0" t="s">
        <v>10</v>
      </c>
      <c r="G321" s="0" t="s">
        <v>600</v>
      </c>
      <c r="H321" s="3">
        <v>30</v>
      </c>
    </row>
    <row r="322">
      <c r="A322" s="0" t="s">
        <v>638</v>
      </c>
      <c r="B322" s="0" t="s">
        <v>639</v>
      </c>
      <c r="C322" s="5">
        <f>=HYPERLINK("https://nusmods.com/modules/BN5511#timetable","Timetable")</f>
      </c>
      <c r="D322" s="5"/>
      <c r="E322" s="5">
        <f>=HYPERLINK("https://luminus.nus.edu.sg/modules/90e30d14-0df1-4b1d-a257-5ca17667b617","LumiNUS course site")</f>
      </c>
      <c r="F322" s="0" t="s">
        <v>10</v>
      </c>
      <c r="G322" s="0" t="s">
        <v>600</v>
      </c>
      <c r="H322" s="3">
        <v>15</v>
      </c>
    </row>
    <row r="323">
      <c r="A323" s="0" t="s">
        <v>640</v>
      </c>
      <c r="B323" s="0" t="s">
        <v>641</v>
      </c>
      <c r="C323" s="5">
        <f>=HYPERLINK("https://nusmods.com/modules/BN5512#timetable","Timetable")</f>
      </c>
      <c r="D323" s="5"/>
      <c r="E323" s="5"/>
      <c r="F323" s="0" t="s">
        <v>10</v>
      </c>
      <c r="G323" s="0" t="s">
        <v>600</v>
      </c>
      <c r="H323" s="3">
        <v>14</v>
      </c>
    </row>
    <row r="324">
      <c r="A324" s="0" t="s">
        <v>642</v>
      </c>
      <c r="B324" s="0" t="s">
        <v>643</v>
      </c>
      <c r="C324" s="5">
        <f>=HYPERLINK("https://nusmods.com/modules/BN5515#timetable","Timetable")</f>
      </c>
      <c r="D324" s="5"/>
      <c r="E324" s="5">
        <f>=HYPERLINK("https://luminus.nus.edu.sg/modules/388299b4-4dac-4e2a-8467-19918d6c7cb3","LumiNUS course site")</f>
      </c>
      <c r="F324" s="0" t="s">
        <v>10</v>
      </c>
      <c r="G324" s="0" t="s">
        <v>600</v>
      </c>
      <c r="H324" s="3">
        <v>8</v>
      </c>
    </row>
    <row r="325">
      <c r="A325" s="0" t="s">
        <v>644</v>
      </c>
      <c r="B325" s="0" t="s">
        <v>645</v>
      </c>
      <c r="C325" s="5">
        <f>=HYPERLINK("https://nusmods.com/modules/BN5516#timetable","Timetable")</f>
      </c>
      <c r="D325" s="5"/>
      <c r="E325" s="5">
        <f>=HYPERLINK("https://luminus.nus.edu.sg/modules/77313f9f-4bb9-4ce8-8952-a4da0d84c2a4","LumiNUS course site")</f>
      </c>
      <c r="F325" s="0" t="s">
        <v>10</v>
      </c>
      <c r="G325" s="0" t="s">
        <v>600</v>
      </c>
      <c r="H325" s="3">
        <v>6</v>
      </c>
    </row>
    <row r="326">
      <c r="A326" s="0" t="s">
        <v>646</v>
      </c>
      <c r="B326" s="0" t="s">
        <v>647</v>
      </c>
      <c r="C326" s="5">
        <f>=HYPERLINK("https://nusmods.com/modules/BN5666#timetable","Timetable")</f>
      </c>
      <c r="D326" s="5"/>
      <c r="E326" s="5"/>
      <c r="F326" s="0" t="s">
        <v>10</v>
      </c>
      <c r="G326" s="0" t="s">
        <v>600</v>
      </c>
      <c r="H326" s="3">
        <v>3</v>
      </c>
    </row>
    <row r="327">
      <c r="A327" s="0" t="s">
        <v>648</v>
      </c>
      <c r="B327" s="0" t="s">
        <v>649</v>
      </c>
      <c r="C327" s="5">
        <f>=HYPERLINK("https://nusmods.com/modules/BN5999#timetable","Timetable")</f>
      </c>
      <c r="D327" s="5"/>
      <c r="E327" s="5"/>
      <c r="F327" s="0" t="s">
        <v>10</v>
      </c>
      <c r="G327" s="0" t="s">
        <v>600</v>
      </c>
      <c r="H327" s="3">
        <v>41</v>
      </c>
    </row>
    <row r="328">
      <c r="A328" s="0" t="s">
        <v>650</v>
      </c>
      <c r="B328" s="0" t="s">
        <v>651</v>
      </c>
      <c r="C328" s="5">
        <f>=HYPERLINK("https://nusmods.com/modules/BN6999#timetable","Timetable")</f>
      </c>
      <c r="D328" s="5"/>
      <c r="E328" s="5"/>
      <c r="F328" s="0" t="s">
        <v>10</v>
      </c>
      <c r="G328" s="0" t="s">
        <v>600</v>
      </c>
      <c r="H328" s="3">
        <v>88</v>
      </c>
    </row>
    <row r="329">
      <c r="A329" s="0" t="s">
        <v>652</v>
      </c>
      <c r="B329" s="0" t="s">
        <v>653</v>
      </c>
      <c r="C329" s="5">
        <f>=HYPERLINK("https://nusmods.com/modules/BPM1701#timetable","Timetable")</f>
      </c>
      <c r="D329" s="5">
        <f>=HYPERLINK("https://canvas.nus.edu.sg/courses/23174","Canvas course site")</f>
      </c>
      <c r="E329" s="5">
        <f>=HYPERLINK("https://luminus.nus.edu.sg/modules/3450c15b-e535-49a4-be31-af1d29fa639a","LumiNUS course site")</f>
      </c>
      <c r="F329" s="0" t="s">
        <v>28</v>
      </c>
      <c r="G329" s="0" t="s">
        <v>654</v>
      </c>
      <c r="H329" s="3">
        <v>967</v>
      </c>
    </row>
    <row r="330">
      <c r="A330" s="0" t="s">
        <v>655</v>
      </c>
      <c r="B330" s="0" t="s">
        <v>656</v>
      </c>
      <c r="C330" s="5">
        <f>=HYPERLINK("https://nusmods.com/modules/BPM1702#timetable","Timetable")</f>
      </c>
      <c r="D330" s="5"/>
      <c r="E330" s="5">
        <f>=HYPERLINK("https://luminus.nus.edu.sg/modules/bb01def4-fe47-430f-a9dc-92b573d68246","LumiNUS course site")</f>
      </c>
      <c r="F330" s="0" t="s">
        <v>28</v>
      </c>
      <c r="G330" s="0" t="s">
        <v>228</v>
      </c>
      <c r="H330" s="3">
        <v>996</v>
      </c>
    </row>
    <row r="331">
      <c r="A331" s="0" t="s">
        <v>657</v>
      </c>
      <c r="B331" s="0" t="s">
        <v>658</v>
      </c>
      <c r="C331" s="5">
        <f>=HYPERLINK("https://nusmods.com/modules/BPM1705#timetable","Timetable")</f>
      </c>
      <c r="D331" s="5">
        <f>=HYPERLINK("https://canvas.nus.edu.sg/courses/23185","Canvas course site")</f>
      </c>
      <c r="E331" s="5"/>
      <c r="F331" s="0" t="s">
        <v>28</v>
      </c>
      <c r="G331" s="0" t="s">
        <v>531</v>
      </c>
      <c r="H331" s="3">
        <v>967</v>
      </c>
    </row>
    <row r="332">
      <c r="A332" s="0" t="s">
        <v>659</v>
      </c>
      <c r="B332" s="0" t="s">
        <v>17</v>
      </c>
      <c r="C332" s="5">
        <f>=HYPERLINK("https://nusmods.com/modules/BPS5000#timetable","Timetable")</f>
      </c>
      <c r="D332" s="5"/>
      <c r="E332" s="5"/>
      <c r="F332" s="0" t="s">
        <v>10</v>
      </c>
      <c r="G332" s="0" t="s">
        <v>660</v>
      </c>
      <c r="H332" s="3">
        <v>1</v>
      </c>
    </row>
    <row r="333">
      <c r="A333" s="0" t="s">
        <v>661</v>
      </c>
      <c r="B333" s="0" t="s">
        <v>662</v>
      </c>
      <c r="C333" s="5">
        <f>=HYPERLINK("https://nusmods.com/modules/BPS5111#timetable","Timetable")</f>
      </c>
      <c r="D333" s="5"/>
      <c r="E333" s="5">
        <f>=HYPERLINK("https://luminus.nus.edu.sg/modules/25550ad3-3921-41e1-a1a5-1dec30a2a985","LumiNUS course site")</f>
      </c>
      <c r="F333" s="0" t="s">
        <v>10</v>
      </c>
      <c r="G333" s="0" t="s">
        <v>660</v>
      </c>
      <c r="H333" s="3">
        <v>41</v>
      </c>
    </row>
    <row r="334">
      <c r="A334" s="0" t="s">
        <v>663</v>
      </c>
      <c r="B334" s="0" t="s">
        <v>664</v>
      </c>
      <c r="C334" s="5">
        <f>=HYPERLINK("https://nusmods.com/modules/BPS5112#timetable","Timetable")</f>
      </c>
      <c r="D334" s="5">
        <f>=HYPERLINK("https://canvas.nus.edu.sg/courses/23199","Canvas course site")</f>
      </c>
      <c r="E334" s="5"/>
      <c r="F334" s="0" t="s">
        <v>10</v>
      </c>
      <c r="G334" s="0" t="s">
        <v>660</v>
      </c>
      <c r="H334" s="3">
        <v>40</v>
      </c>
    </row>
    <row r="335">
      <c r="A335" s="0" t="s">
        <v>665</v>
      </c>
      <c r="B335" s="0" t="s">
        <v>666</v>
      </c>
      <c r="C335" s="5">
        <f>=HYPERLINK("https://nusmods.com/modules/BPS5221#timetable","Timetable")</f>
      </c>
      <c r="D335" s="5">
        <f>=HYPERLINK("https://canvas.nus.edu.sg/courses/23205","Canvas course site")</f>
      </c>
      <c r="E335" s="5">
        <f>=HYPERLINK("https://luminus.nus.edu.sg/modules/71fd01c0-a8b9-43c5-921c-96aa7993c94a","LumiNUS course site")</f>
      </c>
      <c r="F335" s="0" t="s">
        <v>10</v>
      </c>
      <c r="G335" s="0" t="s">
        <v>660</v>
      </c>
      <c r="H335" s="3">
        <v>26</v>
      </c>
    </row>
    <row r="336">
      <c r="A336" s="0" t="s">
        <v>667</v>
      </c>
      <c r="B336" s="0" t="s">
        <v>668</v>
      </c>
      <c r="C336" s="5">
        <f>=HYPERLINK("https://nusmods.com/modules/BPS5223#timetable","Timetable")</f>
      </c>
      <c r="D336" s="5">
        <f>=HYPERLINK("https://canvas.nus.edu.sg/courses/23209","Canvas course site")</f>
      </c>
      <c r="E336" s="5"/>
      <c r="F336" s="0" t="s">
        <v>10</v>
      </c>
      <c r="G336" s="0" t="s">
        <v>660</v>
      </c>
      <c r="H336" s="3">
        <v>41</v>
      </c>
    </row>
    <row r="337">
      <c r="A337" s="0" t="s">
        <v>669</v>
      </c>
      <c r="B337" s="0" t="s">
        <v>670</v>
      </c>
      <c r="C337" s="5">
        <f>=HYPERLINK("https://nusmods.com/modules/BPS5224#timetable","Timetable")</f>
      </c>
      <c r="D337" s="5"/>
      <c r="E337" s="5">
        <f>=HYPERLINK("https://luminus.nus.edu.sg/modules/e63be8d4-d9da-427d-a4e7-c9d3ed68b336","LumiNUS course site")</f>
      </c>
      <c r="F337" s="0" t="s">
        <v>10</v>
      </c>
      <c r="G337" s="0" t="s">
        <v>660</v>
      </c>
      <c r="H337" s="3">
        <v>31</v>
      </c>
    </row>
    <row r="338">
      <c r="A338" s="0" t="s">
        <v>671</v>
      </c>
      <c r="B338" s="0" t="s">
        <v>672</v>
      </c>
      <c r="C338" s="5">
        <f>=HYPERLINK("https://nusmods.com/modules/BPS5229#timetable","Timetable")</f>
      </c>
      <c r="D338" s="5">
        <f>=HYPERLINK("https://canvas.nus.edu.sg/courses/23219","Canvas course site")</f>
      </c>
      <c r="E338" s="5"/>
      <c r="F338" s="0" t="s">
        <v>10</v>
      </c>
      <c r="G338" s="0" t="s">
        <v>660</v>
      </c>
      <c r="H338" s="3">
        <v>35</v>
      </c>
    </row>
    <row r="339">
      <c r="A339" s="0" t="s">
        <v>673</v>
      </c>
      <c r="B339" s="0" t="s">
        <v>674</v>
      </c>
      <c r="C339" s="5">
        <f>=HYPERLINK("https://nusmods.com/modules/BPS5300#timetable","Timetable")</f>
      </c>
      <c r="D339" s="5"/>
      <c r="E339" s="5"/>
      <c r="F339" s="0" t="s">
        <v>10</v>
      </c>
      <c r="G339" s="0" t="s">
        <v>660</v>
      </c>
      <c r="H339" s="3">
        <v>0</v>
      </c>
    </row>
    <row r="340">
      <c r="A340" s="0" t="s">
        <v>675</v>
      </c>
      <c r="B340" s="0" t="s">
        <v>676</v>
      </c>
      <c r="C340" s="5">
        <f>=HYPERLINK("https://nusmods.com/modules/BRP6553#timetable","Timetable")</f>
      </c>
      <c r="D340" s="5">
        <f>=HYPERLINK("https://canvas.nus.edu.sg/courses/23230","Canvas course site")</f>
      </c>
      <c r="E340" s="5"/>
      <c r="F340" s="0" t="s">
        <v>28</v>
      </c>
      <c r="G340" s="0" t="s">
        <v>534</v>
      </c>
      <c r="H340" s="3">
        <v>6</v>
      </c>
    </row>
    <row r="341">
      <c r="A341" s="0" t="s">
        <v>677</v>
      </c>
      <c r="B341" s="0" t="s">
        <v>132</v>
      </c>
      <c r="C341" s="5">
        <f>=HYPERLINK("https://nusmods.com/modules/BS5770#timetable","Timetable")</f>
      </c>
      <c r="D341" s="5"/>
      <c r="E341" s="5"/>
      <c r="F341" s="0" t="s">
        <v>10</v>
      </c>
      <c r="G341" s="0" t="s">
        <v>660</v>
      </c>
      <c r="H341" s="3">
        <v>2</v>
      </c>
    </row>
    <row r="342">
      <c r="A342" s="0" t="s">
        <v>678</v>
      </c>
      <c r="B342" s="0" t="s">
        <v>205</v>
      </c>
      <c r="C342" s="5">
        <f>=HYPERLINK("https://nusmods.com/modules/BS6770#timetable","Timetable")</f>
      </c>
      <c r="D342" s="5"/>
      <c r="E342" s="5"/>
      <c r="F342" s="0" t="s">
        <v>10</v>
      </c>
      <c r="G342" s="0" t="s">
        <v>660</v>
      </c>
      <c r="H342" s="3">
        <v>4</v>
      </c>
    </row>
    <row r="343">
      <c r="A343" s="0" t="s">
        <v>679</v>
      </c>
      <c r="B343" s="0" t="s">
        <v>680</v>
      </c>
      <c r="C343" s="5">
        <f>=HYPERLINK("https://nusmods.com/modules/BSE3701#timetable","Timetable")</f>
      </c>
      <c r="D343" s="5">
        <f>=HYPERLINK("https://canvas.nus.edu.sg/courses/23246","Canvas course site")</f>
      </c>
      <c r="E343" s="5"/>
      <c r="F343" s="0" t="s">
        <v>28</v>
      </c>
      <c r="G343" s="0" t="s">
        <v>225</v>
      </c>
      <c r="H343" s="3">
        <v>43</v>
      </c>
    </row>
    <row r="344">
      <c r="A344" s="0" t="s">
        <v>681</v>
      </c>
      <c r="B344" s="0" t="s">
        <v>682</v>
      </c>
      <c r="C344" s="5">
        <f>=HYPERLINK("https://nusmods.com/modules/BSE3702#timetable","Timetable")</f>
      </c>
      <c r="D344" s="5">
        <f>=HYPERLINK("https://canvas.nus.edu.sg/courses/23251","Canvas course site")</f>
      </c>
      <c r="E344" s="5"/>
      <c r="F344" s="0" t="s">
        <v>28</v>
      </c>
      <c r="G344" s="0" t="s">
        <v>225</v>
      </c>
      <c r="H344" s="3">
        <v>41</v>
      </c>
    </row>
    <row r="345">
      <c r="A345" s="0" t="s">
        <v>683</v>
      </c>
      <c r="B345" s="0" t="s">
        <v>684</v>
      </c>
      <c r="C345" s="5">
        <f>=HYPERLINK("https://nusmods.com/modules/BSE3703#timetable","Timetable")</f>
      </c>
      <c r="D345" s="5">
        <f>=HYPERLINK("https://canvas.nus.edu.sg/courses/23255","Canvas course site")</f>
      </c>
      <c r="E345" s="5"/>
      <c r="F345" s="0" t="s">
        <v>28</v>
      </c>
      <c r="G345" s="0" t="s">
        <v>225</v>
      </c>
      <c r="H345" s="3">
        <v>44</v>
      </c>
    </row>
    <row r="346">
      <c r="A346" s="0" t="s">
        <v>685</v>
      </c>
      <c r="B346" s="0" t="s">
        <v>686</v>
      </c>
      <c r="C346" s="5">
        <f>=HYPERLINK("https://nusmods.com/modules/BSE3751#timetable","Timetable")</f>
      </c>
      <c r="D346" s="5"/>
      <c r="E346" s="5"/>
      <c r="F346" s="0" t="s">
        <v>28</v>
      </c>
      <c r="G346" s="0" t="s">
        <v>225</v>
      </c>
      <c r="H346" s="3">
        <v>1</v>
      </c>
    </row>
    <row r="347">
      <c r="A347" s="0" t="s">
        <v>687</v>
      </c>
      <c r="B347" s="0" t="s">
        <v>688</v>
      </c>
      <c r="C347" s="5">
        <f>=HYPERLINK("https://nusmods.com/modules/BSE3761#timetable","Timetable")</f>
      </c>
      <c r="D347" s="5"/>
      <c r="E347" s="5"/>
      <c r="F347" s="0" t="s">
        <v>28</v>
      </c>
      <c r="G347" s="0" t="s">
        <v>225</v>
      </c>
      <c r="H347" s="3">
        <v>0</v>
      </c>
    </row>
    <row r="348">
      <c r="A348" s="0" t="s">
        <v>689</v>
      </c>
      <c r="B348" s="0" t="s">
        <v>690</v>
      </c>
      <c r="C348" s="5">
        <f>=HYPERLINK("https://nusmods.com/modules/BSE4711#timetable","Timetable")</f>
      </c>
      <c r="D348" s="5">
        <f>=HYPERLINK("https://canvas.nus.edu.sg/courses/23270","Canvas course site")</f>
      </c>
      <c r="E348" s="5"/>
      <c r="F348" s="0" t="s">
        <v>28</v>
      </c>
      <c r="G348" s="0" t="s">
        <v>225</v>
      </c>
      <c r="H348" s="3">
        <v>12</v>
      </c>
    </row>
    <row r="349">
      <c r="A349" s="0" t="s">
        <v>691</v>
      </c>
      <c r="B349" s="0" t="s">
        <v>692</v>
      </c>
      <c r="C349" s="5">
        <f>=HYPERLINK("https://nusmods.com/modules/BSE4751#timetable","Timetable")</f>
      </c>
      <c r="D349" s="5"/>
      <c r="E349" s="5"/>
      <c r="F349" s="0" t="s">
        <v>28</v>
      </c>
      <c r="G349" s="0" t="s">
        <v>225</v>
      </c>
      <c r="H349" s="3">
        <v>0</v>
      </c>
    </row>
    <row r="350">
      <c r="A350" s="0" t="s">
        <v>693</v>
      </c>
      <c r="B350" s="0" t="s">
        <v>694</v>
      </c>
      <c r="C350" s="5">
        <f>=HYPERLINK("https://nusmods.com/modules/BSN3701#timetable","Timetable")</f>
      </c>
      <c r="D350" s="5">
        <f>=HYPERLINK("https://canvas.nus.edu.sg/courses/25949","Canvas course site")</f>
      </c>
      <c r="E350" s="5"/>
      <c r="F350" s="0" t="s">
        <v>28</v>
      </c>
      <c r="G350" s="0" t="s">
        <v>225</v>
      </c>
      <c r="H350" s="3">
        <v>49</v>
      </c>
    </row>
    <row r="351">
      <c r="A351" s="0" t="s">
        <v>695</v>
      </c>
      <c r="B351" s="0" t="s">
        <v>562</v>
      </c>
      <c r="C351" s="5">
        <f>=HYPERLINK("https://nusmods.com/modules/BSN3702#timetable","Timetable")</f>
      </c>
      <c r="D351" s="5"/>
      <c r="E351" s="5">
        <f>=HYPERLINK("https://luminus.nus.edu.sg/modules/53d2014d-7189-40f1-b8c1-871f698fc800","LumiNUS course site")</f>
      </c>
      <c r="F351" s="0" t="s">
        <v>28</v>
      </c>
      <c r="G351" s="0" t="s">
        <v>225</v>
      </c>
      <c r="H351" s="3">
        <v>58</v>
      </c>
    </row>
    <row r="352">
      <c r="A352" s="0" t="s">
        <v>696</v>
      </c>
      <c r="B352" s="0" t="s">
        <v>697</v>
      </c>
      <c r="C352" s="5">
        <f>=HYPERLINK("https://nusmods.com/modules/BSN3703#timetable","Timetable")</f>
      </c>
      <c r="D352" s="5"/>
      <c r="E352" s="5">
        <f>=HYPERLINK("https://luminus.nus.edu.sg/modules/bc3ea0ab-ce86-4f22-aa2b-78d1accfea5f","LumiNUS course site")</f>
      </c>
      <c r="F352" s="0" t="s">
        <v>28</v>
      </c>
      <c r="G352" s="0" t="s">
        <v>225</v>
      </c>
      <c r="H352" s="3">
        <v>47</v>
      </c>
    </row>
    <row r="353">
      <c r="A353" s="0" t="s">
        <v>698</v>
      </c>
      <c r="B353" s="0" t="s">
        <v>699</v>
      </c>
      <c r="C353" s="5">
        <f>=HYPERLINK("https://nusmods.com/modules/BSN3714#timetable","Timetable")</f>
      </c>
      <c r="D353" s="5"/>
      <c r="E353" s="5">
        <f>=HYPERLINK("https://luminus.nus.edu.sg/modules/402f456a-1175-4b58-976d-5b1757ab5d02","LumiNUS course site")</f>
      </c>
      <c r="F353" s="0" t="s">
        <v>28</v>
      </c>
      <c r="G353" s="0" t="s">
        <v>225</v>
      </c>
      <c r="H353" s="3">
        <v>26</v>
      </c>
    </row>
    <row r="354">
      <c r="A354" s="0" t="s">
        <v>700</v>
      </c>
      <c r="B354" s="0" t="s">
        <v>701</v>
      </c>
      <c r="C354" s="5">
        <f>=HYPERLINK("https://nusmods.com/modules/BSN3717#timetable","Timetable")</f>
      </c>
      <c r="D354" s="5">
        <f>=HYPERLINK("https://canvas.nus.edu.sg/courses/26540","Canvas course site")</f>
      </c>
      <c r="E354" s="5"/>
      <c r="F354" s="0" t="s">
        <v>28</v>
      </c>
      <c r="G354" s="0" t="s">
        <v>225</v>
      </c>
      <c r="H354" s="3">
        <v>39</v>
      </c>
    </row>
    <row r="355">
      <c r="A355" s="0" t="s">
        <v>702</v>
      </c>
      <c r="B355" s="0" t="s">
        <v>703</v>
      </c>
      <c r="C355" s="5">
        <f>=HYPERLINK("https://nusmods.com/modules/BSN3751#timetable","Timetable")</f>
      </c>
      <c r="D355" s="5"/>
      <c r="E355" s="5"/>
      <c r="F355" s="0" t="s">
        <v>28</v>
      </c>
      <c r="G355" s="0" t="s">
        <v>225</v>
      </c>
      <c r="H355" s="3">
        <v>1</v>
      </c>
    </row>
    <row r="356">
      <c r="A356" s="0" t="s">
        <v>704</v>
      </c>
      <c r="B356" s="0" t="s">
        <v>705</v>
      </c>
      <c r="C356" s="5">
        <f>=HYPERLINK("https://nusmods.com/modules/BSN4751#timetable","Timetable")</f>
      </c>
      <c r="D356" s="5"/>
      <c r="E356" s="5"/>
      <c r="F356" s="0" t="s">
        <v>28</v>
      </c>
      <c r="G356" s="0" t="s">
        <v>225</v>
      </c>
      <c r="H356" s="3">
        <v>0</v>
      </c>
    </row>
    <row r="357">
      <c r="A357" s="0" t="s">
        <v>706</v>
      </c>
      <c r="B357" s="0" t="s">
        <v>707</v>
      </c>
      <c r="C357" s="5">
        <f>=HYPERLINK("https://nusmods.com/modules/BSN4811#timetable","Timetable")</f>
      </c>
      <c r="D357" s="5">
        <f>=HYPERLINK("https://canvas.nus.edu.sg/courses/23306","Canvas course site")</f>
      </c>
      <c r="E357" s="5"/>
      <c r="F357" s="0" t="s">
        <v>28</v>
      </c>
      <c r="G357" s="0" t="s">
        <v>225</v>
      </c>
      <c r="H357" s="3">
        <v>27</v>
      </c>
    </row>
    <row r="358">
      <c r="A358" s="0" t="s">
        <v>708</v>
      </c>
      <c r="B358" s="0" t="s">
        <v>709</v>
      </c>
      <c r="C358" s="5">
        <f>=HYPERLINK("https://nusmods.com/modules/BSN4811A#timetable","Timetable")</f>
      </c>
      <c r="D358" s="5">
        <f>=HYPERLINK("https://canvas.nus.edu.sg/courses/23306","Canvas course site")</f>
      </c>
      <c r="E358" s="5"/>
      <c r="F358" s="0" t="s">
        <v>28</v>
      </c>
      <c r="G358" s="0" t="s">
        <v>225</v>
      </c>
      <c r="H358" s="3">
        <v>0</v>
      </c>
    </row>
    <row r="359">
      <c r="A359" s="0" t="s">
        <v>710</v>
      </c>
      <c r="B359" s="0" t="s">
        <v>711</v>
      </c>
      <c r="C359" s="5">
        <f>=HYPERLINK("https://nusmods.com/modules/BSP1702#timetable","Timetable")</f>
      </c>
      <c r="D359" s="5">
        <f>=HYPERLINK("https://canvas.nus.edu.sg/courses/23316","Canvas course site")</f>
      </c>
      <c r="E359" s="5">
        <f>=HYPERLINK("https://luminus.nus.edu.sg/modules/f19b70fe-2e1f-42b5-80d7-7c374ca24986","LumiNUS course site")</f>
      </c>
      <c r="F359" s="0" t="s">
        <v>28</v>
      </c>
      <c r="G359" s="0" t="s">
        <v>225</v>
      </c>
      <c r="H359" s="3">
        <v>491</v>
      </c>
    </row>
    <row r="360">
      <c r="A360" s="0" t="s">
        <v>712</v>
      </c>
      <c r="B360" s="0" t="s">
        <v>711</v>
      </c>
      <c r="C360" s="5">
        <f>=HYPERLINK("https://nusmods.com/modules/BSP1702X#timetable","Timetable")</f>
      </c>
      <c r="D360" s="5">
        <f>=HYPERLINK("https://canvas.nus.edu.sg/courses/23316","Canvas course site")</f>
      </c>
      <c r="E360" s="5"/>
      <c r="F360" s="0" t="s">
        <v>28</v>
      </c>
      <c r="G360" s="0" t="s">
        <v>225</v>
      </c>
      <c r="H360" s="3">
        <v>36</v>
      </c>
    </row>
    <row r="361">
      <c r="A361" s="0" t="s">
        <v>713</v>
      </c>
      <c r="B361" s="0" t="s">
        <v>540</v>
      </c>
      <c r="C361" s="5">
        <f>=HYPERLINK("https://nusmods.com/modules/BSP1703#timetable","Timetable")</f>
      </c>
      <c r="D361" s="5">
        <f>=HYPERLINK("https://canvas.nus.edu.sg/courses/23325","Canvas course site")</f>
      </c>
      <c r="E361" s="5"/>
      <c r="F361" s="0" t="s">
        <v>28</v>
      </c>
      <c r="G361" s="0" t="s">
        <v>225</v>
      </c>
      <c r="H361" s="3">
        <v>636</v>
      </c>
    </row>
    <row r="362">
      <c r="A362" s="0" t="s">
        <v>714</v>
      </c>
      <c r="B362" s="0" t="s">
        <v>715</v>
      </c>
      <c r="C362" s="5">
        <f>=HYPERLINK("https://nusmods.com/modules/BSP2701#timetable","Timetable")</f>
      </c>
      <c r="D362" s="5">
        <f>=HYPERLINK("https://canvas.nus.edu.sg/courses/23330","Canvas course site")</f>
      </c>
      <c r="E362" s="5"/>
      <c r="F362" s="0" t="s">
        <v>28</v>
      </c>
      <c r="G362" s="0" t="s">
        <v>225</v>
      </c>
      <c r="H362" s="3">
        <v>575</v>
      </c>
    </row>
    <row r="363">
      <c r="A363" s="0" t="s">
        <v>716</v>
      </c>
      <c r="B363" s="0" t="s">
        <v>717</v>
      </c>
      <c r="C363" s="5">
        <f>=HYPERLINK("https://nusmods.com/modules/BSP3701A#timetable","Timetable")</f>
      </c>
      <c r="D363" s="5"/>
      <c r="E363" s="5">
        <f>=HYPERLINK("https://luminus.nus.edu.sg/modules/0d24de1b-b45d-4d78-b448-d3d3cf57b28f","LumiNUS course site")</f>
      </c>
      <c r="F363" s="0" t="s">
        <v>28</v>
      </c>
      <c r="G363" s="0" t="s">
        <v>225</v>
      </c>
      <c r="H363" s="3">
        <v>112</v>
      </c>
    </row>
    <row r="364">
      <c r="A364" s="0" t="s">
        <v>718</v>
      </c>
      <c r="B364" s="0" t="s">
        <v>717</v>
      </c>
      <c r="C364" s="5">
        <f>=HYPERLINK("https://nusmods.com/modules/BSP3701B#timetable","Timetable")</f>
      </c>
      <c r="D364" s="5"/>
      <c r="E364" s="5">
        <f>=HYPERLINK("https://luminus.nus.edu.sg/modules/ff23e39c-0b44-4ce3-b68c-43baa23636f4","LumiNUS course site")</f>
      </c>
      <c r="F364" s="0" t="s">
        <v>28</v>
      </c>
      <c r="G364" s="0" t="s">
        <v>225</v>
      </c>
      <c r="H364" s="3">
        <v>129</v>
      </c>
    </row>
    <row r="365">
      <c r="A365" s="0" t="s">
        <v>719</v>
      </c>
      <c r="B365" s="0" t="s">
        <v>717</v>
      </c>
      <c r="C365" s="5">
        <f>=HYPERLINK("https://nusmods.com/modules/BSP3701C#timetable","Timetable")</f>
      </c>
      <c r="D365" s="5"/>
      <c r="E365" s="5">
        <f>=HYPERLINK("https://luminus.nus.edu.sg/modules/a92ef6a3-be1f-425c-bdfd-225674a596a8","LumiNUS course site")</f>
      </c>
      <c r="F365" s="0" t="s">
        <v>28</v>
      </c>
      <c r="G365" s="0" t="s">
        <v>225</v>
      </c>
      <c r="H365" s="3">
        <v>52</v>
      </c>
    </row>
    <row r="366">
      <c r="A366" s="0" t="s">
        <v>720</v>
      </c>
      <c r="B366" s="0" t="s">
        <v>717</v>
      </c>
      <c r="C366" s="5">
        <f>=HYPERLINK("https://nusmods.com/modules/BSP3701D#timetable","Timetable")</f>
      </c>
      <c r="D366" s="5">
        <f>=HYPERLINK("https://canvas.nus.edu.sg/courses/26327","Canvas course site")</f>
      </c>
      <c r="E366" s="5"/>
      <c r="F366" s="0" t="s">
        <v>28</v>
      </c>
      <c r="G366" s="0" t="s">
        <v>225</v>
      </c>
      <c r="H366" s="3">
        <v>64</v>
      </c>
    </row>
    <row r="367">
      <c r="A367" s="0" t="s">
        <v>721</v>
      </c>
      <c r="B367" s="0" t="s">
        <v>709</v>
      </c>
      <c r="C367" s="5">
        <f>=HYPERLINK("https://nusmods.com/modules/BSS4003B#timetable","Timetable")</f>
      </c>
      <c r="D367" s="5"/>
      <c r="E367" s="5"/>
      <c r="F367" s="0" t="s">
        <v>28</v>
      </c>
      <c r="G367" s="0" t="s">
        <v>225</v>
      </c>
      <c r="H367" s="3">
        <v>0</v>
      </c>
    </row>
    <row r="368">
      <c r="A368" s="0" t="s">
        <v>722</v>
      </c>
      <c r="B368" s="0" t="s">
        <v>723</v>
      </c>
      <c r="C368" s="5">
        <f>=HYPERLINK("https://nusmods.com/modules/BT1101#timetable","Timetable")</f>
      </c>
      <c r="D368" s="5">
        <f>=HYPERLINK("https://canvas.nus.edu.sg/courses/23364","Canvas course site")</f>
      </c>
      <c r="E368" s="5"/>
      <c r="F368" s="0" t="s">
        <v>724</v>
      </c>
      <c r="G368" s="0" t="s">
        <v>725</v>
      </c>
      <c r="H368" s="3">
        <v>409</v>
      </c>
    </row>
    <row r="369">
      <c r="A369" s="0" t="s">
        <v>726</v>
      </c>
      <c r="B369" s="0" t="s">
        <v>727</v>
      </c>
      <c r="C369" s="5">
        <f>=HYPERLINK("https://nusmods.com/modules/BT2101#timetable","Timetable")</f>
      </c>
      <c r="D369" s="5"/>
      <c r="E369" s="5">
        <f>=HYPERLINK("https://luminus.nus.edu.sg/modules/fb65e364-8e75-4116-848b-9ca96546478c","LumiNUS course site")</f>
      </c>
      <c r="F369" s="0" t="s">
        <v>724</v>
      </c>
      <c r="G369" s="0" t="s">
        <v>725</v>
      </c>
      <c r="H369" s="3">
        <v>250</v>
      </c>
    </row>
    <row r="370">
      <c r="A370" s="0" t="s">
        <v>728</v>
      </c>
      <c r="B370" s="0" t="s">
        <v>729</v>
      </c>
      <c r="C370" s="5">
        <f>=HYPERLINK("https://nusmods.com/modules/BT2102#timetable","Timetable")</f>
      </c>
      <c r="D370" s="5"/>
      <c r="E370" s="5">
        <f>=HYPERLINK("https://luminus.nus.edu.sg/modules/98f5aae9-3dbb-46d9-8aa3-4d78b45fdf94","LumiNUS course site")</f>
      </c>
      <c r="F370" s="0" t="s">
        <v>724</v>
      </c>
      <c r="G370" s="0" t="s">
        <v>725</v>
      </c>
      <c r="H370" s="3">
        <v>115</v>
      </c>
    </row>
    <row r="371">
      <c r="A371" s="0" t="s">
        <v>730</v>
      </c>
      <c r="B371" s="0" t="s">
        <v>731</v>
      </c>
      <c r="C371" s="5">
        <f>=HYPERLINK("https://nusmods.com/modules/BT2103#timetable","Timetable")</f>
      </c>
      <c r="D371" s="5"/>
      <c r="E371" s="5">
        <f>=HYPERLINK("https://luminus.nus.edu.sg/modules/6634d63f-933a-4bde-9a46-3d4d5beef579","LumiNUS course site")</f>
      </c>
      <c r="F371" s="0" t="s">
        <v>724</v>
      </c>
      <c r="G371" s="0" t="s">
        <v>725</v>
      </c>
      <c r="H371" s="3">
        <v>181</v>
      </c>
    </row>
    <row r="372">
      <c r="A372" s="0" t="s">
        <v>732</v>
      </c>
      <c r="B372" s="0" t="s">
        <v>733</v>
      </c>
      <c r="C372" s="5">
        <f>=HYPERLINK("https://nusmods.com/modules/BT2201#timetable","Timetable")</f>
      </c>
      <c r="D372" s="5">
        <f>=HYPERLINK("https://canvas.nus.edu.sg/courses/23379","Canvas course site")</f>
      </c>
      <c r="E372" s="5">
        <f>=HYPERLINK("https://luminus.nus.edu.sg/modules/086021d3-0af8-4415-bf72-7f7546a2623a","LumiNUS course site")</f>
      </c>
      <c r="F372" s="0" t="s">
        <v>724</v>
      </c>
      <c r="G372" s="0" t="s">
        <v>725</v>
      </c>
      <c r="H372" s="3">
        <v>76</v>
      </c>
    </row>
    <row r="373">
      <c r="A373" s="0" t="s">
        <v>734</v>
      </c>
      <c r="B373" s="0" t="s">
        <v>735</v>
      </c>
      <c r="C373" s="5">
        <f>=HYPERLINK("https://nusmods.com/modules/BT3102#timetable","Timetable")</f>
      </c>
      <c r="D373" s="5">
        <f>=HYPERLINK("https://canvas.nus.edu.sg/courses/23385","Canvas course site")</f>
      </c>
      <c r="E373" s="5">
        <f>=HYPERLINK("https://luminus.nus.edu.sg/modules/44073d20-8a0a-4375-a985-1d9be7a4eed0","LumiNUS course site")</f>
      </c>
      <c r="F373" s="0" t="s">
        <v>724</v>
      </c>
      <c r="G373" s="0" t="s">
        <v>725</v>
      </c>
      <c r="H373" s="3">
        <v>45</v>
      </c>
    </row>
    <row r="374">
      <c r="A374" s="0" t="s">
        <v>736</v>
      </c>
      <c r="B374" s="0" t="s">
        <v>737</v>
      </c>
      <c r="C374" s="5">
        <f>=HYPERLINK("https://nusmods.com/modules/BT3103#timetable","Timetable")</f>
      </c>
      <c r="D374" s="5"/>
      <c r="E374" s="5">
        <f>=HYPERLINK("https://luminus.nus.edu.sg/modules/1e0f6ead-a177-4e04-8363-0f03e7dd4ded","LumiNUS course site")</f>
      </c>
      <c r="F374" s="0" t="s">
        <v>724</v>
      </c>
      <c r="G374" s="0" t="s">
        <v>725</v>
      </c>
      <c r="H374" s="3">
        <v>53</v>
      </c>
    </row>
    <row r="375">
      <c r="A375" s="0" t="s">
        <v>738</v>
      </c>
      <c r="B375" s="0" t="s">
        <v>739</v>
      </c>
      <c r="C375" s="5">
        <f>=HYPERLINK("https://nusmods.com/modules/BT4010#timetable","Timetable")</f>
      </c>
      <c r="D375" s="5"/>
      <c r="E375" s="5"/>
      <c r="F375" s="0" t="s">
        <v>724</v>
      </c>
      <c r="G375" s="0" t="s">
        <v>725</v>
      </c>
      <c r="H375" s="3">
        <v>2</v>
      </c>
    </row>
    <row r="376">
      <c r="A376" s="0" t="s">
        <v>740</v>
      </c>
      <c r="B376" s="0" t="s">
        <v>741</v>
      </c>
      <c r="C376" s="5">
        <f>=HYPERLINK("https://nusmods.com/modules/BT4011#timetable","Timetable")</f>
      </c>
      <c r="D376" s="5">
        <f>=HYPERLINK("https://canvas.nus.edu.sg/courses/26355","Canvas course site")</f>
      </c>
      <c r="E376" s="5"/>
      <c r="F376" s="0" t="s">
        <v>724</v>
      </c>
      <c r="G376" s="0" t="s">
        <v>725</v>
      </c>
      <c r="H376" s="3">
        <v>1</v>
      </c>
    </row>
    <row r="377">
      <c r="A377" s="0" t="s">
        <v>742</v>
      </c>
      <c r="B377" s="0" t="s">
        <v>743</v>
      </c>
      <c r="C377" s="5">
        <f>=HYPERLINK("https://nusmods.com/modules/BT4012#timetable","Timetable")</f>
      </c>
      <c r="D377" s="5">
        <f>=HYPERLINK("https://canvas.nus.edu.sg/courses/23400","Canvas course site")</f>
      </c>
      <c r="E377" s="5"/>
      <c r="F377" s="0" t="s">
        <v>724</v>
      </c>
      <c r="G377" s="0" t="s">
        <v>725</v>
      </c>
      <c r="H377" s="3">
        <v>159</v>
      </c>
    </row>
    <row r="378">
      <c r="A378" s="0" t="s">
        <v>744</v>
      </c>
      <c r="B378" s="0" t="s">
        <v>745</v>
      </c>
      <c r="C378" s="5">
        <f>=HYPERLINK("https://nusmods.com/modules/BT4013#timetable","Timetable")</f>
      </c>
      <c r="D378" s="5">
        <f>=HYPERLINK("https://canvas.nus.edu.sg/courses/23404","Canvas course site")</f>
      </c>
      <c r="E378" s="5">
        <f>=HYPERLINK("https://luminus.nus.edu.sg/modules/0ce95b5a-94c0-47d7-9ce1-c93538f1f5d1","LumiNUS course site")</f>
      </c>
      <c r="F378" s="0" t="s">
        <v>724</v>
      </c>
      <c r="G378" s="0" t="s">
        <v>725</v>
      </c>
      <c r="H378" s="3">
        <v>110</v>
      </c>
    </row>
    <row r="379">
      <c r="A379" s="0" t="s">
        <v>746</v>
      </c>
      <c r="B379" s="0" t="s">
        <v>747</v>
      </c>
      <c r="C379" s="5">
        <f>=HYPERLINK("https://nusmods.com/modules/BT4015#timetable","Timetable")</f>
      </c>
      <c r="D379" s="5"/>
      <c r="E379" s="5">
        <f>=HYPERLINK("https://luminus.nus.edu.sg/modules/5c0fe144-8163-4d4d-9982-a886619d75c3","LumiNUS course site")</f>
      </c>
      <c r="F379" s="0" t="s">
        <v>724</v>
      </c>
      <c r="G379" s="0" t="s">
        <v>725</v>
      </c>
      <c r="H379" s="3">
        <v>16</v>
      </c>
    </row>
    <row r="380">
      <c r="A380" s="0" t="s">
        <v>748</v>
      </c>
      <c r="B380" s="0" t="s">
        <v>749</v>
      </c>
      <c r="C380" s="5">
        <f>=HYPERLINK("https://nusmods.com/modules/BT4101#timetable","Timetable")</f>
      </c>
      <c r="D380" s="5"/>
      <c r="E380" s="5"/>
      <c r="F380" s="0" t="s">
        <v>724</v>
      </c>
      <c r="G380" s="0" t="s">
        <v>725</v>
      </c>
      <c r="H380" s="3">
        <v>32</v>
      </c>
    </row>
    <row r="381">
      <c r="A381" s="0" t="s">
        <v>750</v>
      </c>
      <c r="B381" s="0" t="s">
        <v>751</v>
      </c>
      <c r="C381" s="5">
        <f>=HYPERLINK("https://nusmods.com/modules/BT4103#timetable","Timetable")</f>
      </c>
      <c r="D381" s="5"/>
      <c r="E381" s="5">
        <f>=HYPERLINK("https://luminus.nus.edu.sg/modules/14a47bbe-91aa-4364-bdf8-c675bfd912a2","LumiNUS course site")</f>
      </c>
      <c r="F381" s="0" t="s">
        <v>724</v>
      </c>
      <c r="G381" s="0" t="s">
        <v>725</v>
      </c>
      <c r="H381" s="3">
        <v>127</v>
      </c>
    </row>
    <row r="382">
      <c r="A382" s="0" t="s">
        <v>752</v>
      </c>
      <c r="B382" s="0" t="s">
        <v>753</v>
      </c>
      <c r="C382" s="5">
        <f>=HYPERLINK("https://nusmods.com/modules/BT4212#timetable","Timetable")</f>
      </c>
      <c r="D382" s="5">
        <f>=HYPERLINK("https://canvas.nus.edu.sg/courses/23419","Canvas course site")</f>
      </c>
      <c r="E382" s="5">
        <f>=HYPERLINK("https://luminus.nus.edu.sg/modules/0128a1a0-b161-4b8a-8b26-f637d4b0dd8c","LumiNUS course site")</f>
      </c>
      <c r="F382" s="0" t="s">
        <v>724</v>
      </c>
      <c r="G382" s="0" t="s">
        <v>725</v>
      </c>
      <c r="H382" s="3">
        <v>126</v>
      </c>
    </row>
    <row r="383">
      <c r="A383" s="0" t="s">
        <v>754</v>
      </c>
      <c r="B383" s="0" t="s">
        <v>755</v>
      </c>
      <c r="C383" s="5">
        <f>=HYPERLINK("https://nusmods.com/modules/BT4222#timetable","Timetable")</f>
      </c>
      <c r="D383" s="5">
        <f>=HYPERLINK("https://canvas.nus.edu.sg/courses/22403","Canvas course site")</f>
      </c>
      <c r="E383" s="5">
        <f>=HYPERLINK("https://luminus.nus.edu.sg/modules/d4913dd4-6630-4cd2-834a-a0657bd41012","LumiNUS course site")</f>
      </c>
      <c r="F383" s="0" t="s">
        <v>724</v>
      </c>
      <c r="G383" s="0" t="s">
        <v>725</v>
      </c>
      <c r="H383" s="3">
        <v>162</v>
      </c>
    </row>
    <row r="384">
      <c r="A384" s="0" t="s">
        <v>756</v>
      </c>
      <c r="B384" s="0" t="s">
        <v>757</v>
      </c>
      <c r="C384" s="5">
        <f>=HYPERLINK("https://nusmods.com/modules/BT4240#timetable","Timetable")</f>
      </c>
      <c r="D384" s="5"/>
      <c r="E384" s="5">
        <f>=HYPERLINK("https://luminus.nus.edu.sg/modules/21f7a9b9-e1ee-4604-ae4c-547327cac4fe","LumiNUS course site")</f>
      </c>
      <c r="F384" s="0" t="s">
        <v>724</v>
      </c>
      <c r="G384" s="0" t="s">
        <v>725</v>
      </c>
      <c r="H384" s="3">
        <v>33</v>
      </c>
    </row>
    <row r="385">
      <c r="A385" s="0" t="s">
        <v>758</v>
      </c>
      <c r="B385" s="0" t="s">
        <v>759</v>
      </c>
      <c r="C385" s="5">
        <f>=HYPERLINK("https://nusmods.com/modules/BT4301#timetable","Timetable")</f>
      </c>
      <c r="D385" s="5">
        <f>=HYPERLINK("https://canvas.nus.edu.sg/courses/26653","Canvas course site")</f>
      </c>
      <c r="E385" s="5"/>
      <c r="F385" s="0" t="s">
        <v>724</v>
      </c>
      <c r="G385" s="0" t="s">
        <v>725</v>
      </c>
      <c r="H385" s="3">
        <v>21</v>
      </c>
    </row>
    <row r="386">
      <c r="A386" s="0" t="s">
        <v>760</v>
      </c>
      <c r="B386" s="0" t="s">
        <v>761</v>
      </c>
      <c r="C386" s="5">
        <f>=HYPERLINK("https://nusmods.com/modules/BT5110#timetable","Timetable")</f>
      </c>
      <c r="D386" s="5">
        <f>=HYPERLINK("https://canvas.nus.edu.sg/courses/23429","Canvas course site")</f>
      </c>
      <c r="E386" s="5">
        <f>=HYPERLINK("https://luminus.nus.edu.sg/modules/6ad010a2-d0e4-40e1-8fcd-c850a59b82f0","LumiNUS course site")</f>
      </c>
      <c r="F386" s="0" t="s">
        <v>724</v>
      </c>
      <c r="G386" s="0" t="s">
        <v>762</v>
      </c>
      <c r="H386" s="3">
        <v>122</v>
      </c>
    </row>
    <row r="387">
      <c r="A387" s="0" t="s">
        <v>763</v>
      </c>
      <c r="B387" s="0" t="s">
        <v>764</v>
      </c>
      <c r="C387" s="5">
        <f>=HYPERLINK("https://nusmods.com/modules/BZD6010#timetable","Timetable")</f>
      </c>
      <c r="D387" s="5">
        <f>=HYPERLINK("https://canvas.nus.edu.sg/courses/23434","Canvas course site")</f>
      </c>
      <c r="E387" s="5"/>
      <c r="F387" s="0" t="s">
        <v>28</v>
      </c>
      <c r="G387" s="0" t="s">
        <v>534</v>
      </c>
      <c r="H387" s="3">
        <v>8</v>
      </c>
    </row>
    <row r="388">
      <c r="A388" s="0" t="s">
        <v>765</v>
      </c>
      <c r="B388" s="0" t="s">
        <v>766</v>
      </c>
      <c r="C388" s="5">
        <f>=HYPERLINK("https://nusmods.com/modules/BZD6013#timetable","Timetable")</f>
      </c>
      <c r="D388" s="5"/>
      <c r="E388" s="5">
        <f>=HYPERLINK("https://luminus.nus.edu.sg/modules/81dcdd27-95e7-42bb-bf7f-89f0b90dc2eb","LumiNUS course site")</f>
      </c>
      <c r="F388" s="0" t="s">
        <v>28</v>
      </c>
      <c r="G388" s="0" t="s">
        <v>531</v>
      </c>
      <c r="H388" s="3">
        <v>17</v>
      </c>
    </row>
    <row r="389">
      <c r="A389" s="0" t="s">
        <v>767</v>
      </c>
      <c r="B389" s="0" t="s">
        <v>768</v>
      </c>
      <c r="C389" s="5">
        <f>=HYPERLINK("https://nusmods.com/modules/CAH5101#timetable","Timetable")</f>
      </c>
      <c r="D389" s="5">
        <f>=HYPERLINK("https://canvas.nus.edu.sg/courses/22404","Canvas course site")</f>
      </c>
      <c r="E389" s="5"/>
      <c r="F389" s="0" t="s">
        <v>90</v>
      </c>
      <c r="G389" s="0" t="s">
        <v>210</v>
      </c>
      <c r="H389" s="3">
        <v>11</v>
      </c>
    </row>
    <row r="390">
      <c r="A390" s="0" t="s">
        <v>769</v>
      </c>
      <c r="B390" s="0" t="s">
        <v>770</v>
      </c>
      <c r="C390" s="5">
        <f>=HYPERLINK("https://nusmods.com/modules/CAH5102#timetable","Timetable")</f>
      </c>
      <c r="D390" s="5">
        <f>=HYPERLINK("https://canvas.nus.edu.sg/courses/22405","Canvas course site")</f>
      </c>
      <c r="E390" s="5"/>
      <c r="F390" s="0" t="s">
        <v>90</v>
      </c>
      <c r="G390" s="0" t="s">
        <v>210</v>
      </c>
      <c r="H390" s="3">
        <v>11</v>
      </c>
    </row>
    <row r="391">
      <c r="A391" s="0" t="s">
        <v>771</v>
      </c>
      <c r="B391" s="0" t="s">
        <v>772</v>
      </c>
      <c r="C391" s="5">
        <f>=HYPERLINK("https://nusmods.com/modules/CAH5103#timetable","Timetable")</f>
      </c>
      <c r="D391" s="5">
        <f>=HYPERLINK("https://canvas.nus.edu.sg/courses/23444","Canvas course site")</f>
      </c>
      <c r="E391" s="5"/>
      <c r="F391" s="0" t="s">
        <v>90</v>
      </c>
      <c r="G391" s="0" t="s">
        <v>210</v>
      </c>
      <c r="H391" s="3">
        <v>11</v>
      </c>
    </row>
    <row r="392">
      <c r="A392" s="0" t="s">
        <v>773</v>
      </c>
      <c r="B392" s="0" t="s">
        <v>774</v>
      </c>
      <c r="C392" s="5">
        <f>=HYPERLINK("https://nusmods.com/modules/CAS5101#timetable","Timetable")</f>
      </c>
      <c r="D392" s="5"/>
      <c r="E392" s="5">
        <f>=HYPERLINK("https://luminus.nus.edu.sg/modules/b05bd220-8273-4812-b1b4-4fefcf6be82c","LumiNUS course site")</f>
      </c>
      <c r="F392" s="0" t="s">
        <v>73</v>
      </c>
      <c r="G392" s="0" t="s">
        <v>775</v>
      </c>
      <c r="H392" s="3">
        <v>8</v>
      </c>
    </row>
    <row r="393">
      <c r="A393" s="0" t="s">
        <v>776</v>
      </c>
      <c r="B393" s="0" t="s">
        <v>602</v>
      </c>
      <c r="C393" s="5">
        <f>=HYPERLINK("https://nusmods.com/modules/CAS5660#timetable","Timetable")</f>
      </c>
      <c r="D393" s="5"/>
      <c r="E393" s="5"/>
      <c r="F393" s="0" t="s">
        <v>73</v>
      </c>
      <c r="G393" s="0" t="s">
        <v>775</v>
      </c>
      <c r="H393" s="3">
        <v>0</v>
      </c>
    </row>
    <row r="394">
      <c r="A394" s="0" t="s">
        <v>777</v>
      </c>
      <c r="B394" s="0" t="s">
        <v>778</v>
      </c>
      <c r="C394" s="5">
        <f>=HYPERLINK("https://nusmods.com/modules/CAS6101#timetable","Timetable")</f>
      </c>
      <c r="D394" s="5"/>
      <c r="E394" s="5">
        <f>=HYPERLINK("https://luminus.nus.edu.sg/modules/1f6c11ab-4926-4a9c-819d-ff46caa502ed","LumiNUS course site")</f>
      </c>
      <c r="F394" s="0" t="s">
        <v>73</v>
      </c>
      <c r="G394" s="0" t="s">
        <v>775</v>
      </c>
      <c r="H394" s="3">
        <v>5</v>
      </c>
    </row>
    <row r="395">
      <c r="A395" s="0" t="s">
        <v>779</v>
      </c>
      <c r="B395" s="0" t="s">
        <v>365</v>
      </c>
      <c r="C395" s="5">
        <f>=HYPERLINK("https://nusmods.com/modules/CAS6660#timetable","Timetable")</f>
      </c>
      <c r="D395" s="5"/>
      <c r="E395" s="5"/>
      <c r="F395" s="0" t="s">
        <v>73</v>
      </c>
      <c r="G395" s="0" t="s">
        <v>775</v>
      </c>
      <c r="H395" s="3">
        <v>0</v>
      </c>
    </row>
    <row r="396">
      <c r="A396" s="0" t="s">
        <v>780</v>
      </c>
      <c r="B396" s="0" t="s">
        <v>781</v>
      </c>
      <c r="C396" s="5">
        <f>=HYPERLINK("https://nusmods.com/modules/CDE2000#timetable","Timetable")</f>
      </c>
      <c r="D396" s="5">
        <f>=HYPERLINK("https://canvas.nus.edu.sg/courses/23468","Canvas course site")</f>
      </c>
      <c r="E396" s="5"/>
      <c r="F396" s="0" t="s">
        <v>10</v>
      </c>
      <c r="G396" s="0" t="s">
        <v>782</v>
      </c>
      <c r="H396" s="3">
        <v>125</v>
      </c>
    </row>
    <row r="397">
      <c r="A397" s="0" t="s">
        <v>783</v>
      </c>
      <c r="B397" s="0" t="s">
        <v>784</v>
      </c>
      <c r="C397" s="5">
        <f>=HYPERLINK("https://nusmods.com/modules/CDM5102#timetable","Timetable")</f>
      </c>
      <c r="D397" s="5"/>
      <c r="E397" s="5">
        <f>=HYPERLINK("https://luminus.nus.edu.sg/modules/af1b2b4b-38cd-493f-8045-4318559ae841","LumiNUS course site")</f>
      </c>
      <c r="F397" s="0" t="s">
        <v>90</v>
      </c>
      <c r="G397" s="0" t="s">
        <v>785</v>
      </c>
      <c r="H397" s="3">
        <v>19</v>
      </c>
    </row>
    <row r="398">
      <c r="A398" s="0" t="s">
        <v>786</v>
      </c>
      <c r="B398" s="0" t="s">
        <v>787</v>
      </c>
      <c r="C398" s="5">
        <f>=HYPERLINK("https://nusmods.com/modules/CDM5103#timetable","Timetable")</f>
      </c>
      <c r="D398" s="5"/>
      <c r="E398" s="5">
        <f>=HYPERLINK("https://luminus.nus.edu.sg/modules/95b8393a-bc49-4cde-a084-bda8a9c83695","LumiNUS course site")</f>
      </c>
      <c r="F398" s="0" t="s">
        <v>90</v>
      </c>
      <c r="G398" s="0" t="s">
        <v>785</v>
      </c>
      <c r="H398" s="3">
        <v>13</v>
      </c>
    </row>
    <row r="399">
      <c r="A399" s="0" t="s">
        <v>788</v>
      </c>
      <c r="B399" s="0" t="s">
        <v>789</v>
      </c>
      <c r="C399" s="5">
        <f>=HYPERLINK("https://nusmods.com/modules/CE1103#timetable","Timetable")</f>
      </c>
      <c r="D399" s="5"/>
      <c r="E399" s="5">
        <f>=HYPERLINK("https://luminus.nus.edu.sg/modules/8a5d879a-e4e5-41f2-9a1f-2918fd583ae8","LumiNUS course site")</f>
      </c>
      <c r="F399" s="0" t="s">
        <v>10</v>
      </c>
      <c r="G399" s="0" t="s">
        <v>790</v>
      </c>
      <c r="H399" s="3">
        <v>63</v>
      </c>
    </row>
    <row r="400">
      <c r="A400" s="0" t="s">
        <v>791</v>
      </c>
      <c r="B400" s="0" t="s">
        <v>792</v>
      </c>
      <c r="C400" s="5">
        <f>=HYPERLINK("https://nusmods.com/modules/CE2134#timetable","Timetable")</f>
      </c>
      <c r="D400" s="5">
        <f>=HYPERLINK("https://canvas.nus.edu.sg/courses/23494","Canvas course site")</f>
      </c>
      <c r="E400" s="5"/>
      <c r="F400" s="0" t="s">
        <v>10</v>
      </c>
      <c r="G400" s="0" t="s">
        <v>790</v>
      </c>
      <c r="H400" s="3">
        <v>96</v>
      </c>
    </row>
    <row r="401">
      <c r="A401" s="0" t="s">
        <v>793</v>
      </c>
      <c r="B401" s="0" t="s">
        <v>794</v>
      </c>
      <c r="C401" s="5">
        <f>=HYPERLINK("https://nusmods.com/modules/CE2183#timetable","Timetable")</f>
      </c>
      <c r="D401" s="5"/>
      <c r="E401" s="5">
        <f>=HYPERLINK("https://luminus.nus.edu.sg/modules/501faa60-8a9c-4508-8ba5-7fca54a68216","LumiNUS course site")</f>
      </c>
      <c r="F401" s="0" t="s">
        <v>10</v>
      </c>
      <c r="G401" s="0" t="s">
        <v>790</v>
      </c>
      <c r="H401" s="3">
        <v>85</v>
      </c>
    </row>
    <row r="402">
      <c r="A402" s="0" t="s">
        <v>795</v>
      </c>
      <c r="B402" s="0" t="s">
        <v>796</v>
      </c>
      <c r="C402" s="5">
        <f>=HYPERLINK("https://nusmods.com/modules/CE2407A#timetable","Timetable")</f>
      </c>
      <c r="D402" s="5"/>
      <c r="E402" s="5">
        <f>=HYPERLINK("https://luminus.nus.edu.sg/modules/bc257a39-3322-4084-85a0-db6570a05e04","LumiNUS course site")</f>
      </c>
      <c r="F402" s="0" t="s">
        <v>10</v>
      </c>
      <c r="G402" s="0" t="s">
        <v>790</v>
      </c>
      <c r="H402" s="3">
        <v>556</v>
      </c>
    </row>
    <row r="403">
      <c r="A403" s="0" t="s">
        <v>797</v>
      </c>
      <c r="B403" s="0" t="s">
        <v>798</v>
      </c>
      <c r="C403" s="5">
        <f>=HYPERLINK("https://nusmods.com/modules/CE3102#timetable","Timetable")</f>
      </c>
      <c r="D403" s="5"/>
      <c r="E403" s="5"/>
      <c r="F403" s="0" t="s">
        <v>10</v>
      </c>
      <c r="G403" s="0" t="s">
        <v>790</v>
      </c>
      <c r="H403" s="3">
        <v>0</v>
      </c>
    </row>
    <row r="404">
      <c r="A404" s="0" t="s">
        <v>799</v>
      </c>
      <c r="B404" s="0" t="s">
        <v>800</v>
      </c>
      <c r="C404" s="5">
        <f>=HYPERLINK("https://nusmods.com/modules/CE3116#timetable","Timetable")</f>
      </c>
      <c r="D404" s="5"/>
      <c r="E404" s="5">
        <f>=HYPERLINK("https://luminus.nus.edu.sg/modules/a3d45ed3-c561-4c92-85a5-b66315162edf","LumiNUS course site")</f>
      </c>
      <c r="F404" s="0" t="s">
        <v>10</v>
      </c>
      <c r="G404" s="0" t="s">
        <v>790</v>
      </c>
      <c r="H404" s="3">
        <v>80</v>
      </c>
    </row>
    <row r="405">
      <c r="A405" s="0" t="s">
        <v>801</v>
      </c>
      <c r="B405" s="0" t="s">
        <v>802</v>
      </c>
      <c r="C405" s="5">
        <f>=HYPERLINK("https://nusmods.com/modules/CE3121#timetable","Timetable")</f>
      </c>
      <c r="D405" s="5">
        <f>=HYPERLINK("https://canvas.nus.edu.sg/courses/23519","Canvas course site")</f>
      </c>
      <c r="E405" s="5"/>
      <c r="F405" s="0" t="s">
        <v>10</v>
      </c>
      <c r="G405" s="0" t="s">
        <v>790</v>
      </c>
      <c r="H405" s="3">
        <v>87</v>
      </c>
    </row>
    <row r="406">
      <c r="A406" s="0" t="s">
        <v>803</v>
      </c>
      <c r="B406" s="0" t="s">
        <v>804</v>
      </c>
      <c r="C406" s="5">
        <f>=HYPERLINK("https://nusmods.com/modules/CE3155A#timetable","Timetable")</f>
      </c>
      <c r="D406" s="5"/>
      <c r="E406" s="5">
        <f>=HYPERLINK("https://luminus.nus.edu.sg/modules/e96eae42-2f48-4133-ade8-f2cebb04ed25","LumiNUS course site")</f>
      </c>
      <c r="F406" s="0" t="s">
        <v>10</v>
      </c>
      <c r="G406" s="0" t="s">
        <v>790</v>
      </c>
      <c r="H406" s="3">
        <v>96</v>
      </c>
    </row>
    <row r="407">
      <c r="A407" s="0" t="s">
        <v>805</v>
      </c>
      <c r="B407" s="0" t="s">
        <v>806</v>
      </c>
      <c r="C407" s="5">
        <f>=HYPERLINK("https://nusmods.com/modules/CE3155B#timetable","Timetable")</f>
      </c>
      <c r="D407" s="5"/>
      <c r="E407" s="5">
        <f>=HYPERLINK("https://luminus.nus.edu.sg/modules/94a9a358-653e-4f97-8c3f-01370a96de71","LumiNUS course site")</f>
      </c>
      <c r="F407" s="0" t="s">
        <v>10</v>
      </c>
      <c r="G407" s="0" t="s">
        <v>790</v>
      </c>
      <c r="H407" s="3">
        <v>99</v>
      </c>
    </row>
    <row r="408">
      <c r="A408" s="0" t="s">
        <v>807</v>
      </c>
      <c r="B408" s="0" t="s">
        <v>808</v>
      </c>
      <c r="C408" s="5">
        <f>=HYPERLINK("https://nusmods.com/modules/CE3165#timetable","Timetable")</f>
      </c>
      <c r="D408" s="5"/>
      <c r="E408" s="5">
        <f>=HYPERLINK("https://luminus.nus.edu.sg/modules/fff3cd75-fe14-4308-827c-8159e1fba3b3","LumiNUS course site")</f>
      </c>
      <c r="F408" s="0" t="s">
        <v>10</v>
      </c>
      <c r="G408" s="0" t="s">
        <v>790</v>
      </c>
      <c r="H408" s="3">
        <v>87</v>
      </c>
    </row>
    <row r="409">
      <c r="A409" s="0" t="s">
        <v>809</v>
      </c>
      <c r="B409" s="0" t="s">
        <v>810</v>
      </c>
      <c r="C409" s="5">
        <f>=HYPERLINK("https://nusmods.com/modules/CE3201#timetable","Timetable")</f>
      </c>
      <c r="D409" s="5"/>
      <c r="E409" s="5">
        <f>=HYPERLINK("https://luminus.nus.edu.sg/modules/a796c21f-1357-4a10-9664-d1cf67f1e746","LumiNUS course site")</f>
      </c>
      <c r="F409" s="0" t="s">
        <v>10</v>
      </c>
      <c r="G409" s="0" t="s">
        <v>790</v>
      </c>
      <c r="H409" s="3">
        <v>22</v>
      </c>
    </row>
    <row r="410">
      <c r="A410" s="0" t="s">
        <v>811</v>
      </c>
      <c r="B410" s="0" t="s">
        <v>812</v>
      </c>
      <c r="C410" s="5">
        <f>=HYPERLINK("https://nusmods.com/modules/CE3202#timetable","Timetable")</f>
      </c>
      <c r="D410" s="5"/>
      <c r="E410" s="5">
        <f>=HYPERLINK("https://luminus.nus.edu.sg/modules/fbb059d1-030a-4c40-aa2c-c69bffe122d3","LumiNUS course site")</f>
      </c>
      <c r="F410" s="0" t="s">
        <v>10</v>
      </c>
      <c r="G410" s="0" t="s">
        <v>790</v>
      </c>
      <c r="H410" s="3">
        <v>22</v>
      </c>
    </row>
    <row r="411">
      <c r="A411" s="0" t="s">
        <v>813</v>
      </c>
      <c r="B411" s="0" t="s">
        <v>814</v>
      </c>
      <c r="C411" s="5">
        <f>=HYPERLINK("https://nusmods.com/modules/CE4103#timetable","Timetable")</f>
      </c>
      <c r="D411" s="5"/>
      <c r="E411" s="5">
        <f>=HYPERLINK("https://luminus.nus.edu.sg/modules/8bfed145-9a2b-498b-89c3-fe08aac521ee","LumiNUS course site")</f>
      </c>
      <c r="F411" s="0" t="s">
        <v>10</v>
      </c>
      <c r="G411" s="0" t="s">
        <v>790</v>
      </c>
      <c r="H411" s="3">
        <v>119</v>
      </c>
    </row>
    <row r="412">
      <c r="A412" s="0" t="s">
        <v>815</v>
      </c>
      <c r="B412" s="0" t="s">
        <v>816</v>
      </c>
      <c r="C412" s="5">
        <f>=HYPERLINK("https://nusmods.com/modules/CE4104#timetable","Timetable")</f>
      </c>
      <c r="D412" s="5">
        <f>=HYPERLINK("https://canvas.nus.edu.sg/courses/23907","Canvas course site")</f>
      </c>
      <c r="E412" s="5">
        <f>=HYPERLINK("https://luminus.nus.edu.sg/modules/93245d7b-82f5-44c0-8dd1-b498b629f0d9","LumiNUS course site")</f>
      </c>
      <c r="F412" s="0" t="s">
        <v>10</v>
      </c>
      <c r="G412" s="0" t="s">
        <v>790</v>
      </c>
      <c r="H412" s="3">
        <v>138</v>
      </c>
    </row>
    <row r="413">
      <c r="A413" s="0" t="s">
        <v>817</v>
      </c>
      <c r="B413" s="0" t="s">
        <v>818</v>
      </c>
      <c r="C413" s="5">
        <f>=HYPERLINK("https://nusmods.com/modules/CE4221#timetable","Timetable")</f>
      </c>
      <c r="D413" s="5">
        <f>=HYPERLINK("https://canvas.nus.edu.sg/courses/23558","Canvas course site")</f>
      </c>
      <c r="E413" s="5"/>
      <c r="F413" s="0" t="s">
        <v>10</v>
      </c>
      <c r="G413" s="0" t="s">
        <v>790</v>
      </c>
      <c r="H413" s="3">
        <v>22</v>
      </c>
    </row>
    <row r="414">
      <c r="A414" s="0" t="s">
        <v>819</v>
      </c>
      <c r="B414" s="0" t="s">
        <v>820</v>
      </c>
      <c r="C414" s="5">
        <f>=HYPERLINK("https://nusmods.com/modules/CE5001#timetable","Timetable")</f>
      </c>
      <c r="D414" s="5"/>
      <c r="E414" s="5"/>
      <c r="F414" s="0" t="s">
        <v>10</v>
      </c>
      <c r="G414" s="0" t="s">
        <v>790</v>
      </c>
      <c r="H414" s="3">
        <v>29</v>
      </c>
    </row>
    <row r="415">
      <c r="A415" s="0" t="s">
        <v>821</v>
      </c>
      <c r="B415" s="0" t="s">
        <v>822</v>
      </c>
      <c r="C415" s="5">
        <f>=HYPERLINK("https://nusmods.com/modules/CE5010QA#timetable","Timetable")</f>
      </c>
      <c r="D415" s="5"/>
      <c r="E415" s="5">
        <f>=HYPERLINK("https://luminus.nus.edu.sg/modules/37604398-5bef-42ab-b394-606d871c1afb","LumiNUS course site")</f>
      </c>
      <c r="F415" s="0" t="s">
        <v>10</v>
      </c>
      <c r="G415" s="0" t="s">
        <v>790</v>
      </c>
      <c r="H415" s="3">
        <v>36</v>
      </c>
    </row>
    <row r="416">
      <c r="A416" s="0" t="s">
        <v>823</v>
      </c>
      <c r="B416" s="0" t="s">
        <v>824</v>
      </c>
      <c r="C416" s="5">
        <f>=HYPERLINK("https://nusmods.com/modules/CE5010QB#timetable","Timetable")</f>
      </c>
      <c r="D416" s="5"/>
      <c r="E416" s="5">
        <f>=HYPERLINK("https://luminus.nus.edu.sg/modules/323ac279-b81c-4044-8198-31007c44cc11","LumiNUS course site")</f>
      </c>
      <c r="F416" s="0" t="s">
        <v>10</v>
      </c>
      <c r="G416" s="0" t="s">
        <v>790</v>
      </c>
      <c r="H416" s="3">
        <v>34</v>
      </c>
    </row>
    <row r="417">
      <c r="A417" s="0" t="s">
        <v>825</v>
      </c>
      <c r="B417" s="0" t="s">
        <v>826</v>
      </c>
      <c r="C417" s="5">
        <f>=HYPERLINK("https://nusmods.com/modules/CE5101#timetable","Timetable")</f>
      </c>
      <c r="D417" s="5"/>
      <c r="E417" s="5">
        <f>=HYPERLINK("https://luminus.nus.edu.sg/modules/ce17216c-f87a-45f1-bc2f-e55ac66761e1","LumiNUS course site")</f>
      </c>
      <c r="F417" s="0" t="s">
        <v>10</v>
      </c>
      <c r="G417" s="0" t="s">
        <v>790</v>
      </c>
      <c r="H417" s="3">
        <v>117</v>
      </c>
    </row>
    <row r="418">
      <c r="A418" s="0" t="s">
        <v>827</v>
      </c>
      <c r="B418" s="0" t="s">
        <v>828</v>
      </c>
      <c r="C418" s="5">
        <f>=HYPERLINK("https://nusmods.com/modules/CE5104A#timetable","Timetable")</f>
      </c>
      <c r="D418" s="5"/>
      <c r="E418" s="5">
        <f>=HYPERLINK("https://luminus.nus.edu.sg/modules/67b4e7aa-2cc1-451f-9636-58014ae11d2e","LumiNUS course site")</f>
      </c>
      <c r="F418" s="0" t="s">
        <v>10</v>
      </c>
      <c r="G418" s="0" t="s">
        <v>790</v>
      </c>
      <c r="H418" s="3">
        <v>16</v>
      </c>
    </row>
    <row r="419">
      <c r="A419" s="0" t="s">
        <v>829</v>
      </c>
      <c r="B419" s="0" t="s">
        <v>830</v>
      </c>
      <c r="C419" s="5">
        <f>=HYPERLINK("https://nusmods.com/modules/CE5104B#timetable","Timetable")</f>
      </c>
      <c r="D419" s="5"/>
      <c r="E419" s="5">
        <f>=HYPERLINK("https://luminus.nus.edu.sg/modules/6ba47e07-69a9-452f-a005-857cb0302096","LumiNUS course site")</f>
      </c>
      <c r="F419" s="0" t="s">
        <v>10</v>
      </c>
      <c r="G419" s="0" t="s">
        <v>790</v>
      </c>
      <c r="H419" s="3">
        <v>16</v>
      </c>
    </row>
    <row r="420">
      <c r="A420" s="0" t="s">
        <v>831</v>
      </c>
      <c r="B420" s="0" t="s">
        <v>828</v>
      </c>
      <c r="C420" s="5">
        <f>=HYPERLINK("https://nusmods.com/modules/CE5104QA#timetable","Timetable")</f>
      </c>
      <c r="D420" s="5"/>
      <c r="E420" s="5">
        <f>=HYPERLINK("https://luminus.nus.edu.sg/modules/223c98ea-5adb-4b37-8f4b-d06eef4299ce","LumiNUS course site")</f>
      </c>
      <c r="F420" s="0" t="s">
        <v>10</v>
      </c>
      <c r="G420" s="0" t="s">
        <v>790</v>
      </c>
      <c r="H420" s="3">
        <v>111</v>
      </c>
    </row>
    <row r="421">
      <c r="A421" s="0" t="s">
        <v>832</v>
      </c>
      <c r="B421" s="0" t="s">
        <v>830</v>
      </c>
      <c r="C421" s="5">
        <f>=HYPERLINK("https://nusmods.com/modules/CE5104QB#timetable","Timetable")</f>
      </c>
      <c r="D421" s="5"/>
      <c r="E421" s="5"/>
      <c r="F421" s="0" t="s">
        <v>10</v>
      </c>
      <c r="G421" s="0" t="s">
        <v>790</v>
      </c>
      <c r="H421" s="3">
        <v>112</v>
      </c>
    </row>
    <row r="422">
      <c r="A422" s="0" t="s">
        <v>833</v>
      </c>
      <c r="B422" s="0" t="s">
        <v>834</v>
      </c>
      <c r="C422" s="5">
        <f>=HYPERLINK("https://nusmods.com/modules/CE5108A#timetable","Timetable")</f>
      </c>
      <c r="D422" s="5">
        <f>=HYPERLINK("https://canvas.nus.edu.sg/courses/23597","Canvas course site")</f>
      </c>
      <c r="E422" s="5"/>
      <c r="F422" s="0" t="s">
        <v>10</v>
      </c>
      <c r="G422" s="0" t="s">
        <v>790</v>
      </c>
      <c r="H422" s="3">
        <v>13</v>
      </c>
    </row>
    <row r="423">
      <c r="A423" s="0" t="s">
        <v>835</v>
      </c>
      <c r="B423" s="0" t="s">
        <v>834</v>
      </c>
      <c r="C423" s="5">
        <f>=HYPERLINK("https://nusmods.com/modules/CE5108QA#timetable","Timetable")</f>
      </c>
      <c r="D423" s="5"/>
      <c r="E423" s="5">
        <f>=HYPERLINK("https://luminus.nus.edu.sg/modules/ab501168-7400-47f4-908e-3d25c6ca6ce9","LumiNUS course site")</f>
      </c>
      <c r="F423" s="0" t="s">
        <v>10</v>
      </c>
      <c r="G423" s="0" t="s">
        <v>790</v>
      </c>
      <c r="H423" s="3">
        <v>101</v>
      </c>
    </row>
    <row r="424">
      <c r="A424" s="0" t="s">
        <v>836</v>
      </c>
      <c r="B424" s="0" t="s">
        <v>837</v>
      </c>
      <c r="C424" s="5">
        <f>=HYPERLINK("https://nusmods.com/modules/CE5108QB#timetable","Timetable")</f>
      </c>
      <c r="D424" s="5"/>
      <c r="E424" s="5">
        <f>=HYPERLINK("https://luminus.nus.edu.sg/modules/b8345ba7-280c-48a2-9d52-2135f7e43cee","LumiNUS course site")</f>
      </c>
      <c r="F424" s="0" t="s">
        <v>10</v>
      </c>
      <c r="G424" s="0" t="s">
        <v>790</v>
      </c>
      <c r="H424" s="3">
        <v>96</v>
      </c>
    </row>
    <row r="425">
      <c r="A425" s="0" t="s">
        <v>838</v>
      </c>
      <c r="B425" s="0" t="s">
        <v>839</v>
      </c>
      <c r="C425" s="5">
        <f>=HYPERLINK("https://nusmods.com/modules/CE5111#timetable","Timetable")</f>
      </c>
      <c r="D425" s="5"/>
      <c r="E425" s="5"/>
      <c r="F425" s="0" t="s">
        <v>10</v>
      </c>
      <c r="G425" s="0" t="s">
        <v>790</v>
      </c>
      <c r="H425" s="3">
        <v>14</v>
      </c>
    </row>
    <row r="426">
      <c r="A426" s="0" t="s">
        <v>840</v>
      </c>
      <c r="B426" s="0" t="s">
        <v>841</v>
      </c>
      <c r="C426" s="5">
        <f>=HYPERLINK("https://nusmods.com/modules/CE5113A#timetable","Timetable")</f>
      </c>
      <c r="D426" s="5"/>
      <c r="E426" s="5"/>
      <c r="F426" s="0" t="s">
        <v>10</v>
      </c>
      <c r="G426" s="0" t="s">
        <v>790</v>
      </c>
      <c r="H426" s="3">
        <v>17</v>
      </c>
    </row>
    <row r="427">
      <c r="A427" s="0" t="s">
        <v>842</v>
      </c>
      <c r="B427" s="0" t="s">
        <v>843</v>
      </c>
      <c r="C427" s="5">
        <f>=HYPERLINK("https://nusmods.com/modules/CE5113B#timetable","Timetable")</f>
      </c>
      <c r="D427" s="5"/>
      <c r="E427" s="5"/>
      <c r="F427" s="0" t="s">
        <v>10</v>
      </c>
      <c r="G427" s="0" t="s">
        <v>790</v>
      </c>
      <c r="H427" s="3">
        <v>15</v>
      </c>
    </row>
    <row r="428">
      <c r="A428" s="0" t="s">
        <v>844</v>
      </c>
      <c r="B428" s="0" t="s">
        <v>841</v>
      </c>
      <c r="C428" s="5">
        <f>=HYPERLINK("https://nusmods.com/modules/CE5113QA#timetable","Timetable")</f>
      </c>
      <c r="D428" s="5"/>
      <c r="E428" s="5">
        <f>=HYPERLINK("https://luminus.nus.edu.sg/modules/c665bfa7-014a-4248-b542-68efb40c6c2a","LumiNUS course site")</f>
      </c>
      <c r="F428" s="0" t="s">
        <v>10</v>
      </c>
      <c r="G428" s="0" t="s">
        <v>790</v>
      </c>
      <c r="H428" s="3">
        <v>98</v>
      </c>
    </row>
    <row r="429">
      <c r="A429" s="0" t="s">
        <v>845</v>
      </c>
      <c r="B429" s="0" t="s">
        <v>843</v>
      </c>
      <c r="C429" s="5">
        <f>=HYPERLINK("https://nusmods.com/modules/CE5113QB#timetable","Timetable")</f>
      </c>
      <c r="D429" s="5"/>
      <c r="E429" s="5"/>
      <c r="F429" s="0" t="s">
        <v>10</v>
      </c>
      <c r="G429" s="0" t="s">
        <v>790</v>
      </c>
      <c r="H429" s="3">
        <v>97</v>
      </c>
    </row>
    <row r="430">
      <c r="A430" s="0" t="s">
        <v>846</v>
      </c>
      <c r="B430" s="0" t="s">
        <v>847</v>
      </c>
      <c r="C430" s="5">
        <f>=HYPERLINK("https://nusmods.com/modules/CE5205#timetable","Timetable")</f>
      </c>
      <c r="D430" s="5">
        <f>=HYPERLINK("https://canvas.nus.edu.sg/courses/26399","Canvas course site")</f>
      </c>
      <c r="E430" s="5"/>
      <c r="F430" s="0" t="s">
        <v>10</v>
      </c>
      <c r="G430" s="0" t="s">
        <v>790</v>
      </c>
      <c r="H430" s="3">
        <v>72</v>
      </c>
    </row>
    <row r="431">
      <c r="A431" s="0" t="s">
        <v>848</v>
      </c>
      <c r="B431" s="0" t="s">
        <v>849</v>
      </c>
      <c r="C431" s="5">
        <f>=HYPERLINK("https://nusmods.com/modules/CE5210#timetable","Timetable")</f>
      </c>
      <c r="D431" s="5">
        <f>=HYPERLINK("https://canvas.nus.edu.sg/courses/23631","Canvas course site")</f>
      </c>
      <c r="E431" s="5"/>
      <c r="F431" s="0" t="s">
        <v>10</v>
      </c>
      <c r="G431" s="0" t="s">
        <v>790</v>
      </c>
      <c r="H431" s="3">
        <v>96</v>
      </c>
    </row>
    <row r="432">
      <c r="A432" s="0" t="s">
        <v>850</v>
      </c>
      <c r="B432" s="0" t="s">
        <v>851</v>
      </c>
      <c r="C432" s="5">
        <f>=HYPERLINK("https://nusmods.com/modules/CE5312#timetable","Timetable")</f>
      </c>
      <c r="D432" s="5">
        <f>=HYPERLINK("https://canvas.nus.edu.sg/courses/23643","Canvas course site")</f>
      </c>
      <c r="E432" s="5"/>
      <c r="F432" s="0" t="s">
        <v>10</v>
      </c>
      <c r="G432" s="0" t="s">
        <v>790</v>
      </c>
      <c r="H432" s="3">
        <v>24</v>
      </c>
    </row>
    <row r="433">
      <c r="A433" s="0" t="s">
        <v>852</v>
      </c>
      <c r="B433" s="0" t="s">
        <v>853</v>
      </c>
      <c r="C433" s="5">
        <f>=HYPERLINK("https://nusmods.com/modules/CE5314#timetable","Timetable")</f>
      </c>
      <c r="D433" s="5"/>
      <c r="E433" s="5"/>
      <c r="F433" s="0" t="s">
        <v>10</v>
      </c>
      <c r="G433" s="0" t="s">
        <v>790</v>
      </c>
      <c r="H433" s="3">
        <v>3</v>
      </c>
    </row>
    <row r="434">
      <c r="A434" s="0" t="s">
        <v>854</v>
      </c>
      <c r="B434" s="0" t="s">
        <v>855</v>
      </c>
      <c r="C434" s="5">
        <f>=HYPERLINK("https://nusmods.com/modules/CE5315#timetable","Timetable")</f>
      </c>
      <c r="D434" s="5">
        <f>=HYPERLINK("https://canvas.nus.edu.sg/courses/23651","Canvas course site")</f>
      </c>
      <c r="E434" s="5">
        <f>=HYPERLINK("https://luminus.nus.edu.sg/modules/d33bd0c8-fbee-4916-a484-dab43291a983","LumiNUS course site")</f>
      </c>
      <c r="F434" s="0" t="s">
        <v>10</v>
      </c>
      <c r="G434" s="0" t="s">
        <v>790</v>
      </c>
      <c r="H434" s="3">
        <v>90</v>
      </c>
    </row>
    <row r="435">
      <c r="A435" s="0" t="s">
        <v>856</v>
      </c>
      <c r="B435" s="0" t="s">
        <v>857</v>
      </c>
      <c r="C435" s="5">
        <f>=HYPERLINK("https://nusmods.com/modules/CE5316A#timetable","Timetable")</f>
      </c>
      <c r="D435" s="5"/>
      <c r="E435" s="5">
        <f>=HYPERLINK("https://luminus.nus.edu.sg/modules/d4a591e4-ec55-496f-a859-13f768d582cf","LumiNUS course site")</f>
      </c>
      <c r="F435" s="0" t="s">
        <v>10</v>
      </c>
      <c r="G435" s="0" t="s">
        <v>790</v>
      </c>
      <c r="H435" s="3">
        <v>35</v>
      </c>
    </row>
    <row r="436">
      <c r="A436" s="0" t="s">
        <v>858</v>
      </c>
      <c r="B436" s="0" t="s">
        <v>859</v>
      </c>
      <c r="C436" s="5">
        <f>=HYPERLINK("https://nusmods.com/modules/CE5316B#timetable","Timetable")</f>
      </c>
      <c r="D436" s="5"/>
      <c r="E436" s="5"/>
      <c r="F436" s="0" t="s">
        <v>10</v>
      </c>
      <c r="G436" s="0" t="s">
        <v>790</v>
      </c>
      <c r="H436" s="3">
        <v>34</v>
      </c>
    </row>
    <row r="437">
      <c r="A437" s="0" t="s">
        <v>860</v>
      </c>
      <c r="B437" s="0" t="s">
        <v>861</v>
      </c>
      <c r="C437" s="5">
        <f>=HYPERLINK("https://nusmods.com/modules/CE5509B#timetable","Timetable")</f>
      </c>
      <c r="D437" s="5"/>
      <c r="E437" s="5"/>
      <c r="F437" s="0" t="s">
        <v>10</v>
      </c>
      <c r="G437" s="0" t="s">
        <v>790</v>
      </c>
      <c r="H437" s="3">
        <v>1</v>
      </c>
    </row>
    <row r="438">
      <c r="A438" s="0" t="s">
        <v>862</v>
      </c>
      <c r="B438" s="0" t="s">
        <v>863</v>
      </c>
      <c r="C438" s="5">
        <f>=HYPERLINK("https://nusmods.com/modules/CE5509QA#timetable","Timetable")</f>
      </c>
      <c r="D438" s="5"/>
      <c r="E438" s="5">
        <f>=HYPERLINK("https://luminus.nus.edu.sg/modules/4d4e78f7-82d7-4039-b1e0-466c3e62e552","LumiNUS course site")</f>
      </c>
      <c r="F438" s="0" t="s">
        <v>10</v>
      </c>
      <c r="G438" s="0" t="s">
        <v>790</v>
      </c>
      <c r="H438" s="3">
        <v>130</v>
      </c>
    </row>
    <row r="439">
      <c r="A439" s="0" t="s">
        <v>864</v>
      </c>
      <c r="B439" s="0" t="s">
        <v>861</v>
      </c>
      <c r="C439" s="5">
        <f>=HYPERLINK("https://nusmods.com/modules/CE5509QB#timetable","Timetable")</f>
      </c>
      <c r="D439" s="5"/>
      <c r="E439" s="5"/>
      <c r="F439" s="0" t="s">
        <v>10</v>
      </c>
      <c r="G439" s="0" t="s">
        <v>790</v>
      </c>
      <c r="H439" s="3">
        <v>131</v>
      </c>
    </row>
    <row r="440">
      <c r="A440" s="0" t="s">
        <v>865</v>
      </c>
      <c r="B440" s="0" t="s">
        <v>866</v>
      </c>
      <c r="C440" s="5">
        <f>=HYPERLINK("https://nusmods.com/modules/CE5510QA#timetable","Timetable")</f>
      </c>
      <c r="D440" s="5"/>
      <c r="E440" s="5">
        <f>=HYPERLINK("https://luminus.nus.edu.sg/modules/20cd5fe3-f9a4-4d80-ac6e-f1ff7950ae51","LumiNUS course site")</f>
      </c>
      <c r="F440" s="0" t="s">
        <v>10</v>
      </c>
      <c r="G440" s="0" t="s">
        <v>790</v>
      </c>
      <c r="H440" s="3">
        <v>121</v>
      </c>
    </row>
    <row r="441">
      <c r="A441" s="0" t="s">
        <v>867</v>
      </c>
      <c r="B441" s="0" t="s">
        <v>868</v>
      </c>
      <c r="C441" s="5">
        <f>=HYPERLINK("https://nusmods.com/modules/CE5510QB#timetable","Timetable")</f>
      </c>
      <c r="D441" s="5">
        <f>=HYPERLINK("https://canvas.nus.edu.sg/courses/23693","Canvas course site")</f>
      </c>
      <c r="E441" s="5"/>
      <c r="F441" s="0" t="s">
        <v>10</v>
      </c>
      <c r="G441" s="0" t="s">
        <v>790</v>
      </c>
      <c r="H441" s="3">
        <v>114</v>
      </c>
    </row>
    <row r="442">
      <c r="A442" s="0" t="s">
        <v>869</v>
      </c>
      <c r="B442" s="0" t="s">
        <v>870</v>
      </c>
      <c r="C442" s="5">
        <f>=HYPERLINK("https://nusmods.com/modules/CE5610B#timetable","Timetable")</f>
      </c>
      <c r="D442" s="5"/>
      <c r="E442" s="5"/>
      <c r="F442" s="0" t="s">
        <v>10</v>
      </c>
      <c r="G442" s="0" t="s">
        <v>790</v>
      </c>
      <c r="H442" s="3">
        <v>1</v>
      </c>
    </row>
    <row r="443">
      <c r="A443" s="0" t="s">
        <v>871</v>
      </c>
      <c r="B443" s="0" t="s">
        <v>872</v>
      </c>
      <c r="C443" s="5">
        <f>=HYPERLINK("https://nusmods.com/modules/CE5610QA#timetable","Timetable")</f>
      </c>
      <c r="D443" s="5"/>
      <c r="E443" s="5">
        <f>=HYPERLINK("https://luminus.nus.edu.sg/modules/6e4ae08e-3163-4b7e-8292-564979c95939","LumiNUS course site")</f>
      </c>
      <c r="F443" s="0" t="s">
        <v>10</v>
      </c>
      <c r="G443" s="0" t="s">
        <v>790</v>
      </c>
      <c r="H443" s="3">
        <v>91</v>
      </c>
    </row>
    <row r="444">
      <c r="A444" s="0" t="s">
        <v>873</v>
      </c>
      <c r="B444" s="0" t="s">
        <v>870</v>
      </c>
      <c r="C444" s="5">
        <f>=HYPERLINK("https://nusmods.com/modules/CE5610QB#timetable","Timetable")</f>
      </c>
      <c r="D444" s="5"/>
      <c r="E444" s="5">
        <f>=HYPERLINK("https://luminus.nus.edu.sg/modules/735e60ef-9341-4938-9899-c2c45b2ac56a","LumiNUS course site")</f>
      </c>
      <c r="F444" s="0" t="s">
        <v>10</v>
      </c>
      <c r="G444" s="0" t="s">
        <v>790</v>
      </c>
      <c r="H444" s="3">
        <v>92</v>
      </c>
    </row>
    <row r="445">
      <c r="A445" s="0" t="s">
        <v>874</v>
      </c>
      <c r="B445" s="0" t="s">
        <v>647</v>
      </c>
      <c r="C445" s="5">
        <f>=HYPERLINK("https://nusmods.com/modules/CE5666#timetable","Timetable")</f>
      </c>
      <c r="D445" s="5"/>
      <c r="E445" s="5"/>
      <c r="F445" s="0" t="s">
        <v>10</v>
      </c>
      <c r="G445" s="0" t="s">
        <v>790</v>
      </c>
      <c r="H445" s="3">
        <v>1</v>
      </c>
    </row>
    <row r="446">
      <c r="A446" s="0" t="s">
        <v>875</v>
      </c>
      <c r="B446" s="0" t="s">
        <v>876</v>
      </c>
      <c r="C446" s="5">
        <f>=HYPERLINK("https://nusmods.com/modules/CE5720QA#timetable","Timetable")</f>
      </c>
      <c r="D446" s="5"/>
      <c r="E446" s="5">
        <f>=HYPERLINK("https://luminus.nus.edu.sg/modules/3ae80b6b-eb8d-4b46-9185-dd1027ad473d","LumiNUS course site")</f>
      </c>
      <c r="F446" s="0" t="s">
        <v>10</v>
      </c>
      <c r="G446" s="0" t="s">
        <v>790</v>
      </c>
      <c r="H446" s="3">
        <v>16</v>
      </c>
    </row>
    <row r="447">
      <c r="A447" s="0" t="s">
        <v>877</v>
      </c>
      <c r="B447" s="0" t="s">
        <v>878</v>
      </c>
      <c r="C447" s="5">
        <f>=HYPERLINK("https://nusmods.com/modules/CE5720QB#timetable","Timetable")</f>
      </c>
      <c r="D447" s="5"/>
      <c r="E447" s="5"/>
      <c r="F447" s="0" t="s">
        <v>10</v>
      </c>
      <c r="G447" s="0" t="s">
        <v>790</v>
      </c>
      <c r="H447" s="3">
        <v>15</v>
      </c>
    </row>
    <row r="448">
      <c r="A448" s="0" t="s">
        <v>879</v>
      </c>
      <c r="B448" s="0" t="s">
        <v>880</v>
      </c>
      <c r="C448" s="5">
        <f>=HYPERLINK("https://nusmods.com/modules/CE5721QA#timetable","Timetable")</f>
      </c>
      <c r="D448" s="5"/>
      <c r="E448" s="5">
        <f>=HYPERLINK("https://luminus.nus.edu.sg/modules/b91fba06-03f8-47b6-adba-e1ccd8e2d5b3","LumiNUS course site")</f>
      </c>
      <c r="F448" s="0" t="s">
        <v>10</v>
      </c>
      <c r="G448" s="0" t="s">
        <v>790</v>
      </c>
      <c r="H448" s="3">
        <v>11</v>
      </c>
    </row>
    <row r="449">
      <c r="A449" s="0" t="s">
        <v>881</v>
      </c>
      <c r="B449" s="0" t="s">
        <v>882</v>
      </c>
      <c r="C449" s="5">
        <f>=HYPERLINK("https://nusmods.com/modules/CE5721QB#timetable","Timetable")</f>
      </c>
      <c r="D449" s="5"/>
      <c r="E449" s="5"/>
      <c r="F449" s="0" t="s">
        <v>10</v>
      </c>
      <c r="G449" s="0" t="s">
        <v>790</v>
      </c>
      <c r="H449" s="3">
        <v>11</v>
      </c>
    </row>
    <row r="450">
      <c r="A450" s="0" t="s">
        <v>883</v>
      </c>
      <c r="B450" s="0" t="s">
        <v>884</v>
      </c>
      <c r="C450" s="5">
        <f>=HYPERLINK("https://nusmods.com/modules/CE5807A#timetable","Timetable")</f>
      </c>
      <c r="D450" s="5"/>
      <c r="E450" s="5">
        <f>=HYPERLINK("https://luminus.nus.edu.sg/modules/c413cd70-1310-43e8-98fa-0bc895e07a58","LumiNUS course site")</f>
      </c>
      <c r="F450" s="0" t="s">
        <v>10</v>
      </c>
      <c r="G450" s="0" t="s">
        <v>790</v>
      </c>
      <c r="H450" s="3">
        <v>2</v>
      </c>
    </row>
    <row r="451">
      <c r="A451" s="0" t="s">
        <v>885</v>
      </c>
      <c r="B451" s="0" t="s">
        <v>886</v>
      </c>
      <c r="C451" s="5">
        <f>=HYPERLINK("https://nusmods.com/modules/CE5807B#timetable","Timetable")</f>
      </c>
      <c r="D451" s="5"/>
      <c r="E451" s="5"/>
      <c r="F451" s="0" t="s">
        <v>10</v>
      </c>
      <c r="G451" s="0" t="s">
        <v>790</v>
      </c>
      <c r="H451" s="3">
        <v>2</v>
      </c>
    </row>
    <row r="452">
      <c r="A452" s="0" t="s">
        <v>887</v>
      </c>
      <c r="B452" s="0" t="s">
        <v>884</v>
      </c>
      <c r="C452" s="5">
        <f>=HYPERLINK("https://nusmods.com/modules/CE5807QA#timetable","Timetable")</f>
      </c>
      <c r="D452" s="5"/>
      <c r="E452" s="5">
        <f>=HYPERLINK("https://luminus.nus.edu.sg/modules/c413cd70-1310-43e8-98fa-0bc895e07a58","LumiNUS course site")</f>
      </c>
      <c r="F452" s="0" t="s">
        <v>10</v>
      </c>
      <c r="G452" s="0" t="s">
        <v>790</v>
      </c>
      <c r="H452" s="3">
        <v>165</v>
      </c>
    </row>
    <row r="453">
      <c r="A453" s="0" t="s">
        <v>888</v>
      </c>
      <c r="B453" s="0" t="s">
        <v>886</v>
      </c>
      <c r="C453" s="5">
        <f>=HYPERLINK("https://nusmods.com/modules/CE5807QB#timetable","Timetable")</f>
      </c>
      <c r="D453" s="5"/>
      <c r="E453" s="5"/>
      <c r="F453" s="0" t="s">
        <v>10</v>
      </c>
      <c r="G453" s="0" t="s">
        <v>790</v>
      </c>
      <c r="H453" s="3">
        <v>165</v>
      </c>
    </row>
    <row r="454">
      <c r="A454" s="0" t="s">
        <v>889</v>
      </c>
      <c r="B454" s="0" t="s">
        <v>890</v>
      </c>
      <c r="C454" s="5">
        <f>=HYPERLINK("https://nusmods.com/modules/CE5808A#timetable","Timetable")</f>
      </c>
      <c r="D454" s="5">
        <f>=HYPERLINK("https://canvas.nus.edu.sg/courses/27243","Canvas course site")</f>
      </c>
      <c r="E454" s="5"/>
      <c r="F454" s="0" t="s">
        <v>10</v>
      </c>
      <c r="G454" s="0" t="s">
        <v>790</v>
      </c>
      <c r="H454" s="3">
        <v>2</v>
      </c>
    </row>
    <row r="455">
      <c r="A455" s="0" t="s">
        <v>891</v>
      </c>
      <c r="B455" s="0" t="s">
        <v>892</v>
      </c>
      <c r="C455" s="5">
        <f>=HYPERLINK("https://nusmods.com/modules/CE5808B#timetable","Timetable")</f>
      </c>
      <c r="D455" s="5">
        <f>=HYPERLINK("https://canvas.nus.edu.sg/courses/27244","Canvas course site")</f>
      </c>
      <c r="E455" s="5"/>
      <c r="F455" s="0" t="s">
        <v>10</v>
      </c>
      <c r="G455" s="0" t="s">
        <v>790</v>
      </c>
      <c r="H455" s="3">
        <v>2</v>
      </c>
    </row>
    <row r="456">
      <c r="A456" s="0" t="s">
        <v>893</v>
      </c>
      <c r="B456" s="0" t="s">
        <v>890</v>
      </c>
      <c r="C456" s="5">
        <f>=HYPERLINK("https://nusmods.com/modules/CE5808QA#timetable","Timetable")</f>
      </c>
      <c r="D456" s="5">
        <f>=HYPERLINK("https://canvas.nus.edu.sg/courses/27243","Canvas course site")</f>
      </c>
      <c r="E456" s="5"/>
      <c r="F456" s="0" t="s">
        <v>10</v>
      </c>
      <c r="G456" s="0" t="s">
        <v>790</v>
      </c>
      <c r="H456" s="3">
        <v>103</v>
      </c>
    </row>
    <row r="457">
      <c r="A457" s="0" t="s">
        <v>894</v>
      </c>
      <c r="B457" s="0" t="s">
        <v>892</v>
      </c>
      <c r="C457" s="5">
        <f>=HYPERLINK("https://nusmods.com/modules/CE5808QB#timetable","Timetable")</f>
      </c>
      <c r="D457" s="5">
        <f>=HYPERLINK("https://canvas.nus.edu.sg/courses/27244","Canvas course site")</f>
      </c>
      <c r="E457" s="5"/>
      <c r="F457" s="0" t="s">
        <v>10</v>
      </c>
      <c r="G457" s="0" t="s">
        <v>790</v>
      </c>
      <c r="H457" s="3">
        <v>101</v>
      </c>
    </row>
    <row r="458">
      <c r="A458" s="0" t="s">
        <v>895</v>
      </c>
      <c r="B458" s="0" t="s">
        <v>896</v>
      </c>
      <c r="C458" s="5">
        <f>=HYPERLINK("https://nusmods.com/modules/CE5881#timetable","Timetable")</f>
      </c>
      <c r="D458" s="5"/>
      <c r="E458" s="5">
        <f>=HYPERLINK("https://luminus.nus.edu.sg/modules/15ea0e80-0483-4004-b346-00be4f13daec","LumiNUS course site")</f>
      </c>
      <c r="F458" s="0" t="s">
        <v>10</v>
      </c>
      <c r="G458" s="0" t="s">
        <v>790</v>
      </c>
      <c r="H458" s="3">
        <v>10</v>
      </c>
    </row>
    <row r="459">
      <c r="A459" s="0" t="s">
        <v>897</v>
      </c>
      <c r="B459" s="0" t="s">
        <v>649</v>
      </c>
      <c r="C459" s="5">
        <f>=HYPERLINK("https://nusmods.com/modules/CE5999#timetable","Timetable")</f>
      </c>
      <c r="D459" s="5"/>
      <c r="E459" s="5"/>
      <c r="F459" s="0" t="s">
        <v>10</v>
      </c>
      <c r="G459" s="0" t="s">
        <v>790</v>
      </c>
      <c r="H459" s="3">
        <v>21</v>
      </c>
    </row>
    <row r="460">
      <c r="A460" s="0" t="s">
        <v>898</v>
      </c>
      <c r="B460" s="0" t="s">
        <v>899</v>
      </c>
      <c r="C460" s="5">
        <f>=HYPERLINK("https://nusmods.com/modules/CE6002#timetable","Timetable")</f>
      </c>
      <c r="D460" s="5">
        <f>=HYPERLINK("https://canvas.nus.edu.sg/courses/23763","Canvas course site")</f>
      </c>
      <c r="E460" s="5"/>
      <c r="F460" s="0" t="s">
        <v>10</v>
      </c>
      <c r="G460" s="0" t="s">
        <v>790</v>
      </c>
      <c r="H460" s="3">
        <v>15</v>
      </c>
    </row>
    <row r="461">
      <c r="A461" s="0" t="s">
        <v>900</v>
      </c>
      <c r="B461" s="0" t="s">
        <v>901</v>
      </c>
      <c r="C461" s="5">
        <f>=HYPERLINK("https://nusmods.com/modules/CE6077A#timetable","Timetable")</f>
      </c>
      <c r="D461" s="5"/>
      <c r="E461" s="5">
        <f>=HYPERLINK("https://luminus.nus.edu.sg/modules/7d2e252b-8be5-4b06-aa92-b0778357de0c","LumiNUS course site")</f>
      </c>
      <c r="F461" s="0" t="s">
        <v>10</v>
      </c>
      <c r="G461" s="0" t="s">
        <v>790</v>
      </c>
      <c r="H461" s="3">
        <v>19</v>
      </c>
    </row>
    <row r="462">
      <c r="A462" s="0" t="s">
        <v>902</v>
      </c>
      <c r="B462" s="0" t="s">
        <v>903</v>
      </c>
      <c r="C462" s="5">
        <f>=HYPERLINK("https://nusmods.com/modules/CE6077B#timetable","Timetable")</f>
      </c>
      <c r="D462" s="5"/>
      <c r="E462" s="5"/>
      <c r="F462" s="0" t="s">
        <v>10</v>
      </c>
      <c r="G462" s="0" t="s">
        <v>790</v>
      </c>
      <c r="H462" s="3">
        <v>10</v>
      </c>
    </row>
    <row r="463">
      <c r="A463" s="0" t="s">
        <v>904</v>
      </c>
      <c r="B463" s="0" t="s">
        <v>905</v>
      </c>
      <c r="C463" s="5">
        <f>=HYPERLINK("https://nusmods.com/modules/CE6077C#timetable","Timetable")</f>
      </c>
      <c r="D463" s="5"/>
      <c r="E463" s="5">
        <f>=HYPERLINK("https://luminus.nus.edu.sg/modules/bfa6e4ee-ba7f-4891-b4a4-48d0e76b6c15","LumiNUS course site")</f>
      </c>
      <c r="F463" s="0" t="s">
        <v>10</v>
      </c>
      <c r="G463" s="0" t="s">
        <v>790</v>
      </c>
      <c r="H463" s="3">
        <v>12</v>
      </c>
    </row>
    <row r="464">
      <c r="A464" s="0" t="s">
        <v>906</v>
      </c>
      <c r="B464" s="0" t="s">
        <v>907</v>
      </c>
      <c r="C464" s="5">
        <f>=HYPERLINK("https://nusmods.com/modules/CE6101#timetable","Timetable")</f>
      </c>
      <c r="D464" s="5"/>
      <c r="E464" s="5">
        <f>=HYPERLINK("https://luminus.nus.edu.sg/modules/a7f8fe5e-a140-4908-a47a-ed763ea39455","LumiNUS course site")</f>
      </c>
      <c r="F464" s="0" t="s">
        <v>10</v>
      </c>
      <c r="G464" s="0" t="s">
        <v>790</v>
      </c>
      <c r="H464" s="3">
        <v>20</v>
      </c>
    </row>
    <row r="465">
      <c r="A465" s="0" t="s">
        <v>908</v>
      </c>
      <c r="B465" s="0" t="s">
        <v>651</v>
      </c>
      <c r="C465" s="5">
        <f>=HYPERLINK("https://nusmods.com/modules/CE6999#timetable","Timetable")</f>
      </c>
      <c r="D465" s="5"/>
      <c r="E465" s="5"/>
      <c r="F465" s="0" t="s">
        <v>10</v>
      </c>
      <c r="G465" s="0" t="s">
        <v>790</v>
      </c>
      <c r="H465" s="3">
        <v>62</v>
      </c>
    </row>
    <row r="466">
      <c r="A466" s="0" t="s">
        <v>909</v>
      </c>
      <c r="B466" s="0" t="s">
        <v>910</v>
      </c>
      <c r="C466" s="5">
        <f>=HYPERLINK("https://nusmods.com/modules/CEG5001#timetable","Timetable")</f>
      </c>
      <c r="D466" s="5"/>
      <c r="E466" s="5"/>
      <c r="F466" s="0" t="s">
        <v>10</v>
      </c>
      <c r="G466" s="0" t="s">
        <v>911</v>
      </c>
      <c r="H466" s="3">
        <v>2</v>
      </c>
    </row>
    <row r="467">
      <c r="A467" s="0" t="s">
        <v>912</v>
      </c>
      <c r="B467" s="0" t="s">
        <v>913</v>
      </c>
      <c r="C467" s="5">
        <f>=HYPERLINK("https://nusmods.com/modules/CEG5002#timetable","Timetable")</f>
      </c>
      <c r="D467" s="5"/>
      <c r="E467" s="5"/>
      <c r="F467" s="0" t="s">
        <v>10</v>
      </c>
      <c r="G467" s="0" t="s">
        <v>911</v>
      </c>
      <c r="H467" s="3">
        <v>0</v>
      </c>
    </row>
    <row r="468">
      <c r="A468" s="0" t="s">
        <v>914</v>
      </c>
      <c r="B468" s="0" t="s">
        <v>915</v>
      </c>
      <c r="C468" s="5">
        <f>=HYPERLINK("https://nusmods.com/modules/CEG5003#timetable","Timetable")</f>
      </c>
      <c r="D468" s="5"/>
      <c r="E468" s="5"/>
      <c r="F468" s="0" t="s">
        <v>10</v>
      </c>
      <c r="G468" s="0" t="s">
        <v>911</v>
      </c>
      <c r="H468" s="3">
        <v>48</v>
      </c>
    </row>
    <row r="469">
      <c r="A469" s="0" t="s">
        <v>916</v>
      </c>
      <c r="B469" s="0" t="s">
        <v>917</v>
      </c>
      <c r="C469" s="5">
        <f>=HYPERLINK("https://nusmods.com/modules/CEG5101#timetable","Timetable")</f>
      </c>
      <c r="D469" s="5"/>
      <c r="E469" s="5">
        <f>=HYPERLINK("https://luminus.nus.edu.sg/modules/95a0af18-2398-4557-827e-be6665d58a63","LumiNUS course site")</f>
      </c>
      <c r="F469" s="0" t="s">
        <v>10</v>
      </c>
      <c r="G469" s="0" t="s">
        <v>911</v>
      </c>
      <c r="H469" s="3">
        <v>72</v>
      </c>
    </row>
    <row r="470">
      <c r="A470" s="0" t="s">
        <v>918</v>
      </c>
      <c r="B470" s="0" t="s">
        <v>919</v>
      </c>
      <c r="C470" s="5">
        <f>=HYPERLINK("https://nusmods.com/modules/CEG5104#timetable","Timetable")</f>
      </c>
      <c r="D470" s="5">
        <f>=HYPERLINK("https://canvas.nus.edu.sg/courses/23803","Canvas course site")</f>
      </c>
      <c r="E470" s="5"/>
      <c r="F470" s="0" t="s">
        <v>10</v>
      </c>
      <c r="G470" s="0" t="s">
        <v>911</v>
      </c>
      <c r="H470" s="3">
        <v>40</v>
      </c>
    </row>
    <row r="471">
      <c r="A471" s="0" t="s">
        <v>920</v>
      </c>
      <c r="B471" s="0" t="s">
        <v>921</v>
      </c>
      <c r="C471" s="5">
        <f>=HYPERLINK("https://nusmods.com/modules/CEG5201#timetable","Timetable")</f>
      </c>
      <c r="D471" s="5"/>
      <c r="E471" s="5">
        <f>=HYPERLINK("https://luminus.nus.edu.sg/modules/089d891c-74eb-4b6d-af13-679021bb77ea","LumiNUS course site")</f>
      </c>
      <c r="F471" s="0" t="s">
        <v>10</v>
      </c>
      <c r="G471" s="0" t="s">
        <v>911</v>
      </c>
      <c r="H471" s="3">
        <v>72</v>
      </c>
    </row>
    <row r="472">
      <c r="A472" s="0" t="s">
        <v>922</v>
      </c>
      <c r="B472" s="0" t="s">
        <v>923</v>
      </c>
      <c r="C472" s="5">
        <f>=HYPERLINK("https://nusmods.com/modules/CEG5205#timetable","Timetable")</f>
      </c>
      <c r="D472" s="5">
        <f>=HYPERLINK("https://canvas.nus.edu.sg/courses/23811","Canvas course site")</f>
      </c>
      <c r="E472" s="5"/>
      <c r="F472" s="0" t="s">
        <v>10</v>
      </c>
      <c r="G472" s="0" t="s">
        <v>911</v>
      </c>
      <c r="H472" s="3">
        <v>42</v>
      </c>
    </row>
    <row r="473">
      <c r="A473" s="0" t="s">
        <v>924</v>
      </c>
      <c r="B473" s="0" t="s">
        <v>925</v>
      </c>
      <c r="C473" s="5">
        <f>=HYPERLINK("https://nusmods.com/modules/CFG1002#timetable","Timetable")</f>
      </c>
      <c r="D473" s="5">
        <f>=HYPERLINK("https://canvas.nus.edu.sg/courses/23815","Canvas course site")</f>
      </c>
      <c r="E473" s="5"/>
      <c r="F473" s="0" t="s">
        <v>926</v>
      </c>
      <c r="G473" s="0" t="s">
        <v>927</v>
      </c>
      <c r="H473" s="3">
        <v>3214</v>
      </c>
    </row>
    <row r="474">
      <c r="A474" s="0" t="s">
        <v>928</v>
      </c>
      <c r="B474" s="0" t="s">
        <v>929</v>
      </c>
      <c r="C474" s="5">
        <f>=HYPERLINK("https://nusmods.com/modules/CFG1003#timetable","Timetable")</f>
      </c>
      <c r="D474" s="5">
        <f>=HYPERLINK("https://canvas.nus.edu.sg/courses/27149","Canvas course site")</f>
      </c>
      <c r="E474" s="5"/>
      <c r="F474" s="0" t="s">
        <v>926</v>
      </c>
      <c r="G474" s="0" t="s">
        <v>930</v>
      </c>
      <c r="H474" s="3">
        <v>1917</v>
      </c>
    </row>
    <row r="475">
      <c r="A475" s="0" t="s">
        <v>931</v>
      </c>
      <c r="B475" s="0" t="s">
        <v>932</v>
      </c>
      <c r="C475" s="5">
        <f>=HYPERLINK("https://nusmods.com/modules/CFG2600A#timetable","Timetable")</f>
      </c>
      <c r="D475" s="5"/>
      <c r="E475" s="5"/>
      <c r="F475" s="0" t="s">
        <v>926</v>
      </c>
      <c r="G475" s="0" t="s">
        <v>930</v>
      </c>
      <c r="H475" s="3">
        <v>0</v>
      </c>
    </row>
    <row r="476">
      <c r="A476" s="0" t="s">
        <v>933</v>
      </c>
      <c r="B476" s="0" t="s">
        <v>934</v>
      </c>
      <c r="C476" s="5">
        <f>=HYPERLINK("https://nusmods.com/modules/CFG3001#timetable","Timetable")</f>
      </c>
      <c r="D476" s="5">
        <f>=HYPERLINK("https://canvas.nus.edu.sg/courses/23823","Canvas course site")</f>
      </c>
      <c r="E476" s="5"/>
      <c r="F476" s="0" t="s">
        <v>926</v>
      </c>
      <c r="G476" s="0" t="s">
        <v>930</v>
      </c>
      <c r="H476" s="3">
        <v>811</v>
      </c>
    </row>
    <row r="477">
      <c r="A477" s="0" t="s">
        <v>935</v>
      </c>
      <c r="B477" s="0" t="s">
        <v>936</v>
      </c>
      <c r="C477" s="5">
        <f>=HYPERLINK("https://nusmods.com/modules/CG1111A#timetable","Timetable")</f>
      </c>
      <c r="D477" s="5"/>
      <c r="E477" s="5">
        <f>=HYPERLINK("https://luminus.nus.edu.sg/modules/77d2c169-2974-482f-8204-9c0a0f2bffa4","LumiNUS course site")</f>
      </c>
      <c r="F477" s="0" t="s">
        <v>937</v>
      </c>
      <c r="G477" s="0" t="s">
        <v>938</v>
      </c>
      <c r="H477" s="3">
        <v>191</v>
      </c>
    </row>
    <row r="478">
      <c r="A478" s="0" t="s">
        <v>939</v>
      </c>
      <c r="B478" s="0" t="s">
        <v>940</v>
      </c>
      <c r="C478" s="5">
        <f>=HYPERLINK("https://nusmods.com/modules/CG2027#timetable","Timetable")</f>
      </c>
      <c r="D478" s="5"/>
      <c r="E478" s="5">
        <f>=HYPERLINK("https://luminus.nus.edu.sg/modules/37db049a-f888-4d9e-a7de-78c5ab52318a","LumiNUS course site")</f>
      </c>
      <c r="F478" s="0" t="s">
        <v>937</v>
      </c>
      <c r="G478" s="0" t="s">
        <v>938</v>
      </c>
      <c r="H478" s="3">
        <v>24</v>
      </c>
    </row>
    <row r="479">
      <c r="A479" s="0" t="s">
        <v>941</v>
      </c>
      <c r="B479" s="0" t="s">
        <v>942</v>
      </c>
      <c r="C479" s="5">
        <f>=HYPERLINK("https://nusmods.com/modules/CG2028#timetable","Timetable")</f>
      </c>
      <c r="D479" s="5"/>
      <c r="E479" s="5"/>
      <c r="F479" s="0" t="s">
        <v>937</v>
      </c>
      <c r="G479" s="0" t="s">
        <v>938</v>
      </c>
      <c r="H479" s="3">
        <v>23</v>
      </c>
    </row>
    <row r="480">
      <c r="A480" s="0" t="s">
        <v>943</v>
      </c>
      <c r="B480" s="0" t="s">
        <v>944</v>
      </c>
      <c r="C480" s="5">
        <f>=HYPERLINK("https://nusmods.com/modules/CG3207#timetable","Timetable")</f>
      </c>
      <c r="D480" s="5">
        <f>=HYPERLINK("https://canvas.nus.edu.sg/courses/23839","Canvas course site")</f>
      </c>
      <c r="E480" s="5"/>
      <c r="F480" s="0" t="s">
        <v>937</v>
      </c>
      <c r="G480" s="0" t="s">
        <v>938</v>
      </c>
      <c r="H480" s="3">
        <v>91</v>
      </c>
    </row>
    <row r="481">
      <c r="A481" s="0" t="s">
        <v>945</v>
      </c>
      <c r="B481" s="0" t="s">
        <v>816</v>
      </c>
      <c r="C481" s="5">
        <f>=HYPERLINK("https://nusmods.com/modules/CG4001#timetable","Timetable")</f>
      </c>
      <c r="D481" s="5"/>
      <c r="E481" s="5"/>
      <c r="F481" s="0" t="s">
        <v>937</v>
      </c>
      <c r="G481" s="0" t="s">
        <v>938</v>
      </c>
      <c r="H481" s="3">
        <v>4</v>
      </c>
    </row>
    <row r="482">
      <c r="A482" s="0" t="s">
        <v>946</v>
      </c>
      <c r="B482" s="0" t="s">
        <v>947</v>
      </c>
      <c r="C482" s="5">
        <f>=HYPERLINK("https://nusmods.com/modules/CG4002#timetable","Timetable")</f>
      </c>
      <c r="D482" s="5">
        <f>=HYPERLINK("https://canvas.nus.edu.sg/courses/23847","Canvas course site")</f>
      </c>
      <c r="E482" s="5"/>
      <c r="F482" s="0" t="s">
        <v>937</v>
      </c>
      <c r="G482" s="0" t="s">
        <v>938</v>
      </c>
      <c r="H482" s="3">
        <v>89</v>
      </c>
    </row>
    <row r="483">
      <c r="A483" s="0" t="s">
        <v>948</v>
      </c>
      <c r="B483" s="0" t="s">
        <v>949</v>
      </c>
      <c r="C483" s="5">
        <f>=HYPERLINK("https://nusmods.com/modules/CG4003#timetable","Timetable")</f>
      </c>
      <c r="D483" s="5"/>
      <c r="E483" s="5"/>
      <c r="F483" s="0" t="s">
        <v>937</v>
      </c>
      <c r="G483" s="0" t="s">
        <v>938</v>
      </c>
      <c r="H483" s="3">
        <v>3</v>
      </c>
    </row>
    <row r="484">
      <c r="A484" s="0" t="s">
        <v>950</v>
      </c>
      <c r="B484" s="0" t="s">
        <v>951</v>
      </c>
      <c r="C484" s="5">
        <f>=HYPERLINK("https://nusmods.com/modules/CH1101E#timetable","Timetable")</f>
      </c>
      <c r="D484" s="5"/>
      <c r="E484" s="5">
        <f>=HYPERLINK("https://luminus.nus.edu.sg/modules/508550ba-c007-492c-83df-05a110b1a4e6","LumiNUS course site")</f>
      </c>
      <c r="F484" s="0" t="s">
        <v>73</v>
      </c>
      <c r="G484" s="0" t="s">
        <v>952</v>
      </c>
      <c r="H484" s="3">
        <v>128</v>
      </c>
    </row>
    <row r="485">
      <c r="A485" s="0" t="s">
        <v>953</v>
      </c>
      <c r="B485" s="0" t="s">
        <v>954</v>
      </c>
      <c r="C485" s="5">
        <f>=HYPERLINK("https://nusmods.com/modules/CH2141#timetable","Timetable")</f>
      </c>
      <c r="D485" s="5"/>
      <c r="E485" s="5">
        <f>=HYPERLINK("https://luminus.nus.edu.sg/modules/01293203-1ea8-4040-bcd3-d9322cad9db4","LumiNUS course site")</f>
      </c>
      <c r="F485" s="0" t="s">
        <v>73</v>
      </c>
      <c r="G485" s="0" t="s">
        <v>952</v>
      </c>
      <c r="H485" s="3">
        <v>44</v>
      </c>
    </row>
    <row r="486">
      <c r="A486" s="0" t="s">
        <v>955</v>
      </c>
      <c r="B486" s="0" t="s">
        <v>956</v>
      </c>
      <c r="C486" s="5">
        <f>=HYPERLINK("https://nusmods.com/modules/CH2161#timetable","Timetable")</f>
      </c>
      <c r="D486" s="5"/>
      <c r="E486" s="5">
        <f>=HYPERLINK("https://luminus.nus.edu.sg/modules/23fa2629-b5a1-4aea-a1ae-0b3e42000855","LumiNUS course site")</f>
      </c>
      <c r="F486" s="0" t="s">
        <v>73</v>
      </c>
      <c r="G486" s="0" t="s">
        <v>952</v>
      </c>
      <c r="H486" s="3">
        <v>21</v>
      </c>
    </row>
    <row r="487">
      <c r="A487" s="0" t="s">
        <v>957</v>
      </c>
      <c r="B487" s="0" t="s">
        <v>958</v>
      </c>
      <c r="C487" s="5">
        <f>=HYPERLINK("https://nusmods.com/modules/CH2162#timetable","Timetable")</f>
      </c>
      <c r="D487" s="5"/>
      <c r="E487" s="5">
        <f>=HYPERLINK("https://luminus.nus.edu.sg/modules/5b1a20b7-ffce-490c-afed-7e3abf316423","LumiNUS course site")</f>
      </c>
      <c r="F487" s="0" t="s">
        <v>73</v>
      </c>
      <c r="G487" s="0" t="s">
        <v>952</v>
      </c>
      <c r="H487" s="3">
        <v>12</v>
      </c>
    </row>
    <row r="488">
      <c r="A488" s="0" t="s">
        <v>959</v>
      </c>
      <c r="B488" s="0" t="s">
        <v>960</v>
      </c>
      <c r="C488" s="5">
        <f>=HYPERLINK("https://nusmods.com/modules/CH2252#timetable","Timetable")</f>
      </c>
      <c r="D488" s="5"/>
      <c r="E488" s="5">
        <f>=HYPERLINK("https://luminus.nus.edu.sg/modules/da91d293-7684-437e-a7fe-913220c78f5b","LumiNUS course site")</f>
      </c>
      <c r="F488" s="0" t="s">
        <v>73</v>
      </c>
      <c r="G488" s="0" t="s">
        <v>952</v>
      </c>
      <c r="H488" s="3">
        <v>10</v>
      </c>
    </row>
    <row r="489">
      <c r="A489" s="0" t="s">
        <v>961</v>
      </c>
      <c r="B489" s="0" t="s">
        <v>962</v>
      </c>
      <c r="C489" s="5">
        <f>=HYPERLINK("https://nusmods.com/modules/CH2293#timetable","Timetable")</f>
      </c>
      <c r="D489" s="5"/>
      <c r="E489" s="5">
        <f>=HYPERLINK("https://luminus.nus.edu.sg/modules/a2517aee-09e4-4223-8eb4-60dd715e26b4","LumiNUS course site")</f>
      </c>
      <c r="F489" s="0" t="s">
        <v>73</v>
      </c>
      <c r="G489" s="0" t="s">
        <v>952</v>
      </c>
      <c r="H489" s="3">
        <v>42</v>
      </c>
    </row>
    <row r="490">
      <c r="A490" s="0" t="s">
        <v>963</v>
      </c>
      <c r="B490" s="0" t="s">
        <v>964</v>
      </c>
      <c r="C490" s="5">
        <f>=HYPERLINK("https://nusmods.com/modules/CH2295#timetable","Timetable")</f>
      </c>
      <c r="D490" s="5"/>
      <c r="E490" s="5">
        <f>=HYPERLINK("https://luminus.nus.edu.sg/modules/62e93836-2ff6-4ec5-9d50-8c528b0ff7c8","LumiNUS course site")</f>
      </c>
      <c r="F490" s="0" t="s">
        <v>73</v>
      </c>
      <c r="G490" s="0" t="s">
        <v>952</v>
      </c>
      <c r="H490" s="3">
        <v>13</v>
      </c>
    </row>
    <row r="491">
      <c r="A491" s="0" t="s">
        <v>965</v>
      </c>
      <c r="B491" s="0" t="s">
        <v>966</v>
      </c>
      <c r="C491" s="5">
        <f>=HYPERLINK("https://nusmods.com/modules/CH2391#timetable","Timetable")</f>
      </c>
      <c r="D491" s="5"/>
      <c r="E491" s="5">
        <f>=HYPERLINK("https://luminus.nus.edu.sg/modules/6dd09195-735b-40c7-8d49-bd7aae48a161","LumiNUS course site")</f>
      </c>
      <c r="F491" s="0" t="s">
        <v>73</v>
      </c>
      <c r="G491" s="0" t="s">
        <v>952</v>
      </c>
      <c r="H491" s="3">
        <v>13</v>
      </c>
    </row>
    <row r="492">
      <c r="A492" s="0" t="s">
        <v>967</v>
      </c>
      <c r="B492" s="0" t="s">
        <v>968</v>
      </c>
      <c r="C492" s="5">
        <f>=HYPERLINK("https://nusmods.com/modules/CH2392#timetable","Timetable")</f>
      </c>
      <c r="D492" s="5"/>
      <c r="E492" s="5">
        <f>=HYPERLINK("https://luminus.nus.edu.sg/modules/4a3e64da-d668-4bb4-a124-b01d99d1adf9","LumiNUS course site")</f>
      </c>
      <c r="F492" s="0" t="s">
        <v>73</v>
      </c>
      <c r="G492" s="0" t="s">
        <v>952</v>
      </c>
      <c r="H492" s="3">
        <v>55</v>
      </c>
    </row>
    <row r="493">
      <c r="A493" s="0" t="s">
        <v>969</v>
      </c>
      <c r="B493" s="0" t="s">
        <v>970</v>
      </c>
      <c r="C493" s="5">
        <f>=HYPERLINK("https://nusmods.com/modules/CH3228#timetable","Timetable")</f>
      </c>
      <c r="D493" s="5"/>
      <c r="E493" s="5">
        <f>=HYPERLINK("https://luminus.nus.edu.sg/modules/51f163de-4e9d-4a75-a829-0176604234b2","LumiNUS course site")</f>
      </c>
      <c r="F493" s="0" t="s">
        <v>73</v>
      </c>
      <c r="G493" s="0" t="s">
        <v>952</v>
      </c>
      <c r="H493" s="3">
        <v>11</v>
      </c>
    </row>
    <row r="494">
      <c r="A494" s="0" t="s">
        <v>971</v>
      </c>
      <c r="B494" s="0" t="s">
        <v>972</v>
      </c>
      <c r="C494" s="5">
        <f>=HYPERLINK("https://nusmods.com/modules/CH3248#timetable","Timetable")</f>
      </c>
      <c r="D494" s="5"/>
      <c r="E494" s="5">
        <f>=HYPERLINK("https://luminus.nus.edu.sg/modules/06b38cf1-4bf9-4e77-a149-17b83f48af8e","LumiNUS course site")</f>
      </c>
      <c r="F494" s="0" t="s">
        <v>73</v>
      </c>
      <c r="G494" s="0" t="s">
        <v>952</v>
      </c>
      <c r="H494" s="3">
        <v>23</v>
      </c>
    </row>
    <row r="495">
      <c r="A495" s="0" t="s">
        <v>973</v>
      </c>
      <c r="B495" s="0" t="s">
        <v>974</v>
      </c>
      <c r="C495" s="5">
        <f>=HYPERLINK("https://nusmods.com/modules/CH4224#timetable","Timetable")</f>
      </c>
      <c r="D495" s="5"/>
      <c r="E495" s="5">
        <f>=HYPERLINK("https://luminus.nus.edu.sg/modules/8a83b9df-d434-4e9e-ae6f-ae189ad5ed3f","LumiNUS course site")</f>
      </c>
      <c r="F495" s="0" t="s">
        <v>73</v>
      </c>
      <c r="G495" s="0" t="s">
        <v>952</v>
      </c>
      <c r="H495" s="3">
        <v>22</v>
      </c>
    </row>
    <row r="496">
      <c r="A496" s="0" t="s">
        <v>975</v>
      </c>
      <c r="B496" s="0" t="s">
        <v>976</v>
      </c>
      <c r="C496" s="5">
        <f>=HYPERLINK("https://nusmods.com/modules/CH4226#timetable","Timetable")</f>
      </c>
      <c r="D496" s="5"/>
      <c r="E496" s="5">
        <f>=HYPERLINK("https://luminus.nus.edu.sg/modules/c98a6642-02fb-4666-b2ae-97c8806c3758","LumiNUS course site")</f>
      </c>
      <c r="F496" s="0" t="s">
        <v>73</v>
      </c>
      <c r="G496" s="0" t="s">
        <v>952</v>
      </c>
      <c r="H496" s="3">
        <v>16</v>
      </c>
    </row>
    <row r="497">
      <c r="A497" s="0" t="s">
        <v>977</v>
      </c>
      <c r="B497" s="0" t="s">
        <v>978</v>
      </c>
      <c r="C497" s="5">
        <f>=HYPERLINK("https://nusmods.com/modules/CH4247#timetable","Timetable")</f>
      </c>
      <c r="D497" s="5"/>
      <c r="E497" s="5">
        <f>=HYPERLINK("https://luminus.nus.edu.sg/modules/cd6ad447-9c58-4c6a-89a7-dafd1e358798","LumiNUS course site")</f>
      </c>
      <c r="F497" s="0" t="s">
        <v>73</v>
      </c>
      <c r="G497" s="0" t="s">
        <v>952</v>
      </c>
      <c r="H497" s="3">
        <v>17</v>
      </c>
    </row>
    <row r="498">
      <c r="A498" s="0" t="s">
        <v>979</v>
      </c>
      <c r="B498" s="0" t="s">
        <v>980</v>
      </c>
      <c r="C498" s="5">
        <f>=HYPERLINK("https://nusmods.com/modules/CH4401#timetable","Timetable")</f>
      </c>
      <c r="D498" s="5"/>
      <c r="E498" s="5"/>
      <c r="F498" s="0" t="s">
        <v>73</v>
      </c>
      <c r="G498" s="0" t="s">
        <v>952</v>
      </c>
      <c r="H498" s="3">
        <v>4</v>
      </c>
    </row>
    <row r="499">
      <c r="A499" s="0" t="s">
        <v>981</v>
      </c>
      <c r="B499" s="0" t="s">
        <v>982</v>
      </c>
      <c r="C499" s="5">
        <f>=HYPERLINK("https://nusmods.com/modules/CH5211#timetable","Timetable")</f>
      </c>
      <c r="D499" s="5"/>
      <c r="E499" s="5">
        <f>=HYPERLINK("https://luminus.nus.edu.sg/modules/a0dc8c73-f422-43d5-a838-54b855949689","LumiNUS course site")</f>
      </c>
      <c r="F499" s="0" t="s">
        <v>73</v>
      </c>
      <c r="G499" s="0" t="s">
        <v>952</v>
      </c>
      <c r="H499" s="3">
        <v>5</v>
      </c>
    </row>
    <row r="500">
      <c r="A500" s="0" t="s">
        <v>983</v>
      </c>
      <c r="B500" s="0" t="s">
        <v>984</v>
      </c>
      <c r="C500" s="5">
        <f>=HYPERLINK("https://nusmods.com/modules/CH5211R#timetable","Timetable")</f>
      </c>
      <c r="D500" s="5"/>
      <c r="E500" s="5">
        <f>=HYPERLINK("https://luminus.nus.edu.sg/modules/a0dc8c73-f422-43d5-a838-54b855949689","LumiNUS course site")</f>
      </c>
      <c r="F500" s="0" t="s">
        <v>73</v>
      </c>
      <c r="G500" s="0" t="s">
        <v>952</v>
      </c>
      <c r="H500" s="3">
        <v>2</v>
      </c>
    </row>
    <row r="501">
      <c r="A501" s="0" t="s">
        <v>985</v>
      </c>
      <c r="B501" s="0" t="s">
        <v>986</v>
      </c>
      <c r="C501" s="5">
        <f>=HYPERLINK("https://nusmods.com/modules/CH5243#timetable","Timetable")</f>
      </c>
      <c r="D501" s="5">
        <f>=HYPERLINK("https://canvas.nus.edu.sg/courses/23929","Canvas course site")</f>
      </c>
      <c r="E501" s="5">
        <f>=HYPERLINK("https://luminus.nus.edu.sg/modules/fd384bb9-8cc2-4765-8f65-e889907c5172","LumiNUS course site")</f>
      </c>
      <c r="F501" s="0" t="s">
        <v>73</v>
      </c>
      <c r="G501" s="0" t="s">
        <v>952</v>
      </c>
      <c r="H501" s="3">
        <v>12</v>
      </c>
    </row>
    <row r="502">
      <c r="A502" s="0" t="s">
        <v>987</v>
      </c>
      <c r="B502" s="0" t="s">
        <v>986</v>
      </c>
      <c r="C502" s="5">
        <f>=HYPERLINK("https://nusmods.com/modules/CH5243R#timetable","Timetable")</f>
      </c>
      <c r="D502" s="5">
        <f>=HYPERLINK("https://canvas.nus.edu.sg/courses/23929","Canvas course site")</f>
      </c>
      <c r="E502" s="5">
        <f>=HYPERLINK("https://luminus.nus.edu.sg/modules/fd384bb9-8cc2-4765-8f65-e889907c5172","LumiNUS course site")</f>
      </c>
      <c r="F502" s="0" t="s">
        <v>73</v>
      </c>
      <c r="G502" s="0" t="s">
        <v>952</v>
      </c>
      <c r="H502" s="3">
        <v>1</v>
      </c>
    </row>
    <row r="503">
      <c r="A503" s="0" t="s">
        <v>988</v>
      </c>
      <c r="B503" s="0" t="s">
        <v>989</v>
      </c>
      <c r="C503" s="5">
        <f>=HYPERLINK("https://nusmods.com/modules/CH5660#timetable","Timetable")</f>
      </c>
      <c r="D503" s="5"/>
      <c r="E503" s="5"/>
      <c r="F503" s="0" t="s">
        <v>73</v>
      </c>
      <c r="G503" s="0" t="s">
        <v>952</v>
      </c>
      <c r="H503" s="3">
        <v>6</v>
      </c>
    </row>
    <row r="504">
      <c r="A504" s="0" t="s">
        <v>990</v>
      </c>
      <c r="B504" s="0" t="s">
        <v>991</v>
      </c>
      <c r="C504" s="5">
        <f>=HYPERLINK("https://nusmods.com/modules/CH6241#timetable","Timetable")</f>
      </c>
      <c r="D504" s="5"/>
      <c r="E504" s="5">
        <f>=HYPERLINK("https://luminus.nus.edu.sg/modules/fcc3f118-4283-4825-a6b2-e51d0545c041","LumiNUS course site")</f>
      </c>
      <c r="F504" s="0" t="s">
        <v>73</v>
      </c>
      <c r="G504" s="0" t="s">
        <v>952</v>
      </c>
      <c r="H504" s="3">
        <v>5</v>
      </c>
    </row>
    <row r="505">
      <c r="A505" s="0" t="s">
        <v>992</v>
      </c>
      <c r="B505" s="0" t="s">
        <v>993</v>
      </c>
      <c r="C505" s="5">
        <f>=HYPERLINK("https://nusmods.com/modules/CH6248#timetable","Timetable")</f>
      </c>
      <c r="D505" s="5"/>
      <c r="E505" s="5">
        <f>=HYPERLINK("https://luminus.nus.edu.sg/modules/3503e6c1-2e61-4a7a-b808-5bb511e7b650","LumiNUS course site")</f>
      </c>
      <c r="F505" s="0" t="s">
        <v>73</v>
      </c>
      <c r="G505" s="0" t="s">
        <v>952</v>
      </c>
      <c r="H505" s="3">
        <v>8</v>
      </c>
    </row>
    <row r="506">
      <c r="A506" s="0" t="s">
        <v>994</v>
      </c>
      <c r="B506" s="0" t="s">
        <v>995</v>
      </c>
      <c r="C506" s="5">
        <f>=HYPERLINK("https://nusmods.com/modules/CH6770#timetable","Timetable")</f>
      </c>
      <c r="D506" s="5"/>
      <c r="E506" s="5">
        <f>=HYPERLINK("https://luminus.nus.edu.sg/modules/8637cbb9-eb39-4835-b903-a81d729bfeee","LumiNUS course site")</f>
      </c>
      <c r="F506" s="0" t="s">
        <v>73</v>
      </c>
      <c r="G506" s="0" t="s">
        <v>952</v>
      </c>
      <c r="H506" s="3">
        <v>10</v>
      </c>
    </row>
    <row r="507">
      <c r="A507" s="0" t="s">
        <v>996</v>
      </c>
      <c r="B507" s="0" t="s">
        <v>997</v>
      </c>
      <c r="C507" s="5">
        <f>=HYPERLINK("https://nusmods.com/modules/CHC5101#timetable","Timetable")</f>
      </c>
      <c r="D507" s="5"/>
      <c r="E507" s="5">
        <f>=HYPERLINK("https://luminus.nus.edu.sg/modules/3308dee5-3d88-4a3e-9829-0b9af9cfef14","LumiNUS course site")</f>
      </c>
      <c r="F507" s="0" t="s">
        <v>73</v>
      </c>
      <c r="G507" s="0" t="s">
        <v>952</v>
      </c>
      <c r="H507" s="3">
        <v>141</v>
      </c>
    </row>
    <row r="508">
      <c r="A508" s="0" t="s">
        <v>998</v>
      </c>
      <c r="B508" s="0" t="s">
        <v>999</v>
      </c>
      <c r="C508" s="5">
        <f>=HYPERLINK("https://nusmods.com/modules/CHC5102#timetable","Timetable")</f>
      </c>
      <c r="D508" s="5"/>
      <c r="E508" s="5">
        <f>=HYPERLINK("https://luminus.nus.edu.sg/modules/1b07208a-d420-49e5-afe8-b4113009e53f","LumiNUS course site")</f>
      </c>
      <c r="F508" s="0" t="s">
        <v>73</v>
      </c>
      <c r="G508" s="0" t="s">
        <v>952</v>
      </c>
      <c r="H508" s="3">
        <v>141</v>
      </c>
    </row>
    <row r="509">
      <c r="A509" s="0" t="s">
        <v>1000</v>
      </c>
      <c r="B509" s="0" t="s">
        <v>1001</v>
      </c>
      <c r="C509" s="5">
        <f>=HYPERLINK("https://nusmods.com/modules/CHC5301#timetable","Timetable")</f>
      </c>
      <c r="D509" s="5"/>
      <c r="E509" s="5">
        <f>=HYPERLINK("https://luminus.nus.edu.sg/modules/62d383ac-fad4-4127-a345-cf2cf6f6310a","LumiNUS course site")</f>
      </c>
      <c r="F509" s="0" t="s">
        <v>73</v>
      </c>
      <c r="G509" s="0" t="s">
        <v>952</v>
      </c>
      <c r="H509" s="3">
        <v>42</v>
      </c>
    </row>
    <row r="510">
      <c r="A510" s="0" t="s">
        <v>1002</v>
      </c>
      <c r="B510" s="0" t="s">
        <v>1003</v>
      </c>
      <c r="C510" s="5">
        <f>=HYPERLINK("https://nusmods.com/modules/CHC5303#timetable","Timetable")</f>
      </c>
      <c r="D510" s="5"/>
      <c r="E510" s="5">
        <f>=HYPERLINK("https://luminus.nus.edu.sg/modules/6968e3ca-4f75-4d26-be4f-797e313d6a4b","LumiNUS course site")</f>
      </c>
      <c r="F510" s="0" t="s">
        <v>73</v>
      </c>
      <c r="G510" s="0" t="s">
        <v>952</v>
      </c>
      <c r="H510" s="3">
        <v>28</v>
      </c>
    </row>
    <row r="511">
      <c r="A511" s="0" t="s">
        <v>1004</v>
      </c>
      <c r="B511" s="0" t="s">
        <v>1005</v>
      </c>
      <c r="C511" s="5">
        <f>=HYPERLINK("https://nusmods.com/modules/CHC5304#timetable","Timetable")</f>
      </c>
      <c r="D511" s="5"/>
      <c r="E511" s="5">
        <f>=HYPERLINK("https://luminus.nus.edu.sg/modules/4b307049-4e5c-4389-ac07-da781a949711","LumiNUS course site")</f>
      </c>
      <c r="F511" s="0" t="s">
        <v>73</v>
      </c>
      <c r="G511" s="0" t="s">
        <v>952</v>
      </c>
      <c r="H511" s="3">
        <v>22</v>
      </c>
    </row>
    <row r="512">
      <c r="A512" s="0" t="s">
        <v>1006</v>
      </c>
      <c r="B512" s="0" t="s">
        <v>1007</v>
      </c>
      <c r="C512" s="5">
        <f>=HYPERLINK("https://nusmods.com/modules/CHC5308#timetable","Timetable")</f>
      </c>
      <c r="D512" s="5">
        <f>=HYPERLINK("https://canvas.nus.edu.sg/courses/23979","Canvas course site")</f>
      </c>
      <c r="E512" s="5">
        <f>=HYPERLINK("https://luminus.nus.edu.sg/modules/ef0716c0-c993-484c-a202-5a9af06c2f52","LumiNUS course site")</f>
      </c>
      <c r="F512" s="0" t="s">
        <v>73</v>
      </c>
      <c r="G512" s="0" t="s">
        <v>952</v>
      </c>
      <c r="H512" s="3">
        <v>23</v>
      </c>
    </row>
    <row r="513">
      <c r="A513" s="0" t="s">
        <v>1008</v>
      </c>
      <c r="B513" s="0" t="s">
        <v>1009</v>
      </c>
      <c r="C513" s="5">
        <f>=HYPERLINK("https://nusmods.com/modules/CHC5310#timetable","Timetable")</f>
      </c>
      <c r="D513" s="5"/>
      <c r="E513" s="5">
        <f>=HYPERLINK("https://luminus.nus.edu.sg/modules/eb63f6a4-5df7-42a8-9779-8a5b45ff4168","LumiNUS course site")</f>
      </c>
      <c r="F513" s="0" t="s">
        <v>73</v>
      </c>
      <c r="G513" s="0" t="s">
        <v>952</v>
      </c>
      <c r="H513" s="3">
        <v>27</v>
      </c>
    </row>
    <row r="514">
      <c r="A514" s="0" t="s">
        <v>1010</v>
      </c>
      <c r="B514" s="0" t="s">
        <v>1011</v>
      </c>
      <c r="C514" s="5">
        <f>=HYPERLINK("https://nusmods.com/modules/CHC5315#timetable","Timetable")</f>
      </c>
      <c r="D514" s="5"/>
      <c r="E514" s="5">
        <f>=HYPERLINK("https://luminus.nus.edu.sg/modules/db98e3a6-e682-4194-ba2d-c35de07318ab","LumiNUS course site")</f>
      </c>
      <c r="F514" s="0" t="s">
        <v>73</v>
      </c>
      <c r="G514" s="0" t="s">
        <v>952</v>
      </c>
      <c r="H514" s="3">
        <v>17</v>
      </c>
    </row>
    <row r="515">
      <c r="A515" s="0" t="s">
        <v>1012</v>
      </c>
      <c r="B515" s="0" t="s">
        <v>1013</v>
      </c>
      <c r="C515" s="5">
        <f>=HYPERLINK("https://nusmods.com/modules/CHC5322#timetable","Timetable")</f>
      </c>
      <c r="D515" s="5"/>
      <c r="E515" s="5">
        <f>=HYPERLINK("https://luminus.nus.edu.sg/modules/2f56739f-4f2c-4ee8-a0a4-37719318cb08","LumiNUS course site")</f>
      </c>
      <c r="F515" s="0" t="s">
        <v>73</v>
      </c>
      <c r="G515" s="0" t="s">
        <v>952</v>
      </c>
      <c r="H515" s="3">
        <v>18</v>
      </c>
    </row>
    <row r="516">
      <c r="A516" s="0" t="s">
        <v>1014</v>
      </c>
      <c r="B516" s="0" t="s">
        <v>1015</v>
      </c>
      <c r="C516" s="5">
        <f>=HYPERLINK("https://nusmods.com/modules/CHC5325#timetable","Timetable")</f>
      </c>
      <c r="D516" s="5"/>
      <c r="E516" s="5">
        <f>=HYPERLINK("https://luminus.nus.edu.sg/modules/6a80ffbb-49a1-4b87-b6a5-e60efe9ed19e","LumiNUS course site")</f>
      </c>
      <c r="F516" s="0" t="s">
        <v>73</v>
      </c>
      <c r="G516" s="0" t="s">
        <v>952</v>
      </c>
      <c r="H516" s="3">
        <v>18</v>
      </c>
    </row>
    <row r="517">
      <c r="A517" s="0" t="s">
        <v>1016</v>
      </c>
      <c r="B517" s="0" t="s">
        <v>1017</v>
      </c>
      <c r="C517" s="5">
        <f>=HYPERLINK("https://nusmods.com/modules/CHC5330#timetable","Timetable")</f>
      </c>
      <c r="D517" s="5">
        <f>=HYPERLINK("https://canvas.nus.edu.sg/courses/24003","Canvas course site")</f>
      </c>
      <c r="E517" s="5">
        <f>=HYPERLINK("https://luminus.nus.edu.sg/modules/3fa323d1-f095-461d-ae66-1b2dd6a5cf8c","LumiNUS course site")</f>
      </c>
      <c r="F517" s="0" t="s">
        <v>73</v>
      </c>
      <c r="G517" s="0" t="s">
        <v>952</v>
      </c>
      <c r="H517" s="3">
        <v>28</v>
      </c>
    </row>
    <row r="518">
      <c r="A518" s="0" t="s">
        <v>1018</v>
      </c>
      <c r="B518" s="0" t="s">
        <v>1019</v>
      </c>
      <c r="C518" s="5">
        <f>=HYPERLINK("https://nusmods.com/modules/CHC5331#timetable","Timetable")</f>
      </c>
      <c r="D518" s="5"/>
      <c r="E518" s="5">
        <f>=HYPERLINK("https://luminus.nus.edu.sg/modules/63f06864-05e8-4e4a-b486-2421fa64c368","LumiNUS course site")</f>
      </c>
      <c r="F518" s="0" t="s">
        <v>73</v>
      </c>
      <c r="G518" s="0" t="s">
        <v>952</v>
      </c>
      <c r="H518" s="3">
        <v>13</v>
      </c>
    </row>
    <row r="519">
      <c r="A519" s="0" t="s">
        <v>1020</v>
      </c>
      <c r="B519" s="0" t="s">
        <v>1021</v>
      </c>
      <c r="C519" s="5">
        <f>=HYPERLINK("https://nusmods.com/modules/CHC5332#timetable","Timetable")</f>
      </c>
      <c r="D519" s="5"/>
      <c r="E519" s="5">
        <f>=HYPERLINK("https://luminus.nus.edu.sg/modules/7129cc46-990a-4b4a-b5bd-9d3ce965fbc2","LumiNUS course site")</f>
      </c>
      <c r="F519" s="0" t="s">
        <v>73</v>
      </c>
      <c r="G519" s="0" t="s">
        <v>952</v>
      </c>
      <c r="H519" s="3">
        <v>27</v>
      </c>
    </row>
    <row r="520">
      <c r="A520" s="0" t="s">
        <v>1022</v>
      </c>
      <c r="B520" s="0" t="s">
        <v>1023</v>
      </c>
      <c r="C520" s="5">
        <f>=HYPERLINK("https://nusmods.com/modules/CHC5333#timetable","Timetable")</f>
      </c>
      <c r="D520" s="5"/>
      <c r="E520" s="5">
        <f>=HYPERLINK("https://luminus.nus.edu.sg/modules/d45bfd4c-8fd1-4acb-99c5-6378e409bdb5","LumiNUS course site")</f>
      </c>
      <c r="F520" s="0" t="s">
        <v>73</v>
      </c>
      <c r="G520" s="0" t="s">
        <v>952</v>
      </c>
      <c r="H520" s="3">
        <v>47</v>
      </c>
    </row>
    <row r="521">
      <c r="A521" s="0" t="s">
        <v>1024</v>
      </c>
      <c r="B521" s="0" t="s">
        <v>1025</v>
      </c>
      <c r="C521" s="5">
        <f>=HYPERLINK("https://nusmods.com/modules/CHC5334#timetable","Timetable")</f>
      </c>
      <c r="D521" s="5"/>
      <c r="E521" s="5">
        <f>=HYPERLINK("https://luminus.nus.edu.sg/modules/439679cb-486b-47c7-9013-d073ee25d8ff","LumiNUS course site")</f>
      </c>
      <c r="F521" s="0" t="s">
        <v>73</v>
      </c>
      <c r="G521" s="0" t="s">
        <v>952</v>
      </c>
      <c r="H521" s="3">
        <v>53</v>
      </c>
    </row>
    <row r="522">
      <c r="A522" s="0" t="s">
        <v>1026</v>
      </c>
      <c r="B522" s="0" t="s">
        <v>1027</v>
      </c>
      <c r="C522" s="5">
        <f>=HYPERLINK("https://nusmods.com/modules/CHC5337#timetable","Timetable")</f>
      </c>
      <c r="D522" s="5"/>
      <c r="E522" s="5">
        <f>=HYPERLINK("https://luminus.nus.edu.sg/modules/a6229ea8-f048-4d0d-97a6-476535320d28","LumiNUS course site")</f>
      </c>
      <c r="F522" s="0" t="s">
        <v>73</v>
      </c>
      <c r="G522" s="0" t="s">
        <v>952</v>
      </c>
      <c r="H522" s="3">
        <v>25</v>
      </c>
    </row>
    <row r="523">
      <c r="A523" s="0" t="s">
        <v>1028</v>
      </c>
      <c r="B523" s="0" t="s">
        <v>1029</v>
      </c>
      <c r="C523" s="5">
        <f>=HYPERLINK("https://nusmods.com/modules/CL1101E#timetable","Timetable")</f>
      </c>
      <c r="D523" s="5"/>
      <c r="E523" s="5">
        <f>=HYPERLINK("https://luminus.nus.edu.sg/modules/a1b07c83-ffd9-4ccb-b034-1f8c11af0aa0","LumiNUS course site")</f>
      </c>
      <c r="F523" s="0" t="s">
        <v>73</v>
      </c>
      <c r="G523" s="0" t="s">
        <v>952</v>
      </c>
      <c r="H523" s="3">
        <v>49</v>
      </c>
    </row>
    <row r="524">
      <c r="A524" s="0" t="s">
        <v>1030</v>
      </c>
      <c r="B524" s="0" t="s">
        <v>1031</v>
      </c>
      <c r="C524" s="5">
        <f>=HYPERLINK("https://nusmods.com/modules/CL2103#timetable","Timetable")</f>
      </c>
      <c r="D524" s="5"/>
      <c r="E524" s="5">
        <f>=HYPERLINK("https://luminus.nus.edu.sg/modules/fd447c71-5d13-4e3d-9aa0-68614b7330da","LumiNUS course site")</f>
      </c>
      <c r="F524" s="0" t="s">
        <v>73</v>
      </c>
      <c r="G524" s="0" t="s">
        <v>952</v>
      </c>
      <c r="H524" s="3">
        <v>19</v>
      </c>
    </row>
    <row r="525">
      <c r="A525" s="0" t="s">
        <v>1032</v>
      </c>
      <c r="B525" s="0" t="s">
        <v>1031</v>
      </c>
      <c r="C525" s="5">
        <f>=HYPERLINK("https://nusmods.com/modules/CL2103S#timetable","Timetable")</f>
      </c>
      <c r="D525" s="5"/>
      <c r="E525" s="5">
        <f>=HYPERLINK("https://luminus.nus.edu.sg/modules/ed89bf3e-7936-4c45-8ef9-ef25a02b7b21","LumiNUS course site")</f>
      </c>
      <c r="F525" s="0" t="s">
        <v>73</v>
      </c>
      <c r="G525" s="0" t="s">
        <v>952</v>
      </c>
      <c r="H525" s="3">
        <v>10</v>
      </c>
    </row>
    <row r="526">
      <c r="A526" s="0" t="s">
        <v>1033</v>
      </c>
      <c r="B526" s="0" t="s">
        <v>1034</v>
      </c>
      <c r="C526" s="5">
        <f>=HYPERLINK("https://nusmods.com/modules/CL3201#timetable","Timetable")</f>
      </c>
      <c r="D526" s="5"/>
      <c r="E526" s="5">
        <f>=HYPERLINK("https://luminus.nus.edu.sg/modules/907f810e-a3ba-4da0-ad60-af378a7f2bb8","LumiNUS course site")</f>
      </c>
      <c r="F526" s="0" t="s">
        <v>73</v>
      </c>
      <c r="G526" s="0" t="s">
        <v>952</v>
      </c>
      <c r="H526" s="3">
        <v>19</v>
      </c>
    </row>
    <row r="527">
      <c r="A527" s="0" t="s">
        <v>1035</v>
      </c>
      <c r="B527" s="0" t="s">
        <v>1036</v>
      </c>
      <c r="C527" s="5">
        <f>=HYPERLINK("https://nusmods.com/modules/CLC1101#timetable","Timetable")</f>
      </c>
      <c r="D527" s="5">
        <f>=HYPERLINK("https://canvas.nus.edu.sg/courses/24040","Canvas course site")</f>
      </c>
      <c r="E527" s="5"/>
      <c r="F527" s="0" t="s">
        <v>926</v>
      </c>
      <c r="G527" s="0" t="s">
        <v>1037</v>
      </c>
      <c r="H527" s="3">
        <v>65</v>
      </c>
    </row>
    <row r="528">
      <c r="A528" s="0" t="s">
        <v>1038</v>
      </c>
      <c r="B528" s="0" t="s">
        <v>1039</v>
      </c>
      <c r="C528" s="5">
        <f>=HYPERLINK("https://nusmods.com/modules/CLC2201#timetable","Timetable")</f>
      </c>
      <c r="D528" s="5"/>
      <c r="E528" s="5">
        <f>=HYPERLINK("https://luminus.nus.edu.sg/modules/a75c54f8-abdb-4dea-840a-bd74d4d1ba73","LumiNUS course site")</f>
      </c>
      <c r="F528" s="0" t="s">
        <v>926</v>
      </c>
      <c r="G528" s="0" t="s">
        <v>1037</v>
      </c>
      <c r="H528" s="3">
        <v>7</v>
      </c>
    </row>
    <row r="529">
      <c r="A529" s="0" t="s">
        <v>1040</v>
      </c>
      <c r="B529" s="0" t="s">
        <v>1041</v>
      </c>
      <c r="C529" s="5">
        <f>=HYPERLINK("https://nusmods.com/modules/CLC2202#timetable","Timetable")</f>
      </c>
      <c r="D529" s="5"/>
      <c r="E529" s="5">
        <f>=HYPERLINK("https://luminus.nus.edu.sg/modules/879290d8-7251-4259-abbc-f9e6584d438b","LumiNUS course site")</f>
      </c>
      <c r="F529" s="0" t="s">
        <v>926</v>
      </c>
      <c r="G529" s="0" t="s">
        <v>1037</v>
      </c>
      <c r="H529" s="3">
        <v>3</v>
      </c>
    </row>
    <row r="530">
      <c r="A530" s="0" t="s">
        <v>1042</v>
      </c>
      <c r="B530" s="0" t="s">
        <v>1039</v>
      </c>
      <c r="C530" s="5">
        <f>=HYPERLINK("https://nusmods.com/modules/CLC2203#timetable","Timetable")</f>
      </c>
      <c r="D530" s="5"/>
      <c r="E530" s="5"/>
      <c r="F530" s="0" t="s">
        <v>926</v>
      </c>
      <c r="G530" s="0" t="s">
        <v>1037</v>
      </c>
      <c r="H530" s="3">
        <v>5</v>
      </c>
    </row>
    <row r="531">
      <c r="A531" s="0" t="s">
        <v>1043</v>
      </c>
      <c r="B531" s="0" t="s">
        <v>1044</v>
      </c>
      <c r="C531" s="5">
        <f>=HYPERLINK("https://nusmods.com/modules/CLC2204#timetable","Timetable")</f>
      </c>
      <c r="D531" s="5"/>
      <c r="E531" s="5">
        <f>=HYPERLINK("https://luminus.nus.edu.sg/modules/c948e4b8-31b1-4b3c-9b72-40d223f28fc0","LumiNUS course site")</f>
      </c>
      <c r="F531" s="0" t="s">
        <v>926</v>
      </c>
      <c r="G531" s="0" t="s">
        <v>1037</v>
      </c>
      <c r="H531" s="3">
        <v>63</v>
      </c>
    </row>
    <row r="532">
      <c r="A532" s="0" t="s">
        <v>1045</v>
      </c>
      <c r="B532" s="0" t="s">
        <v>1046</v>
      </c>
      <c r="C532" s="5">
        <f>=HYPERLINK("https://nusmods.com/modules/CLC3303#timetable","Timetable")</f>
      </c>
      <c r="D532" s="5"/>
      <c r="E532" s="5">
        <f>=HYPERLINK("https://luminus.nus.edu.sg/modules/a6ab1eca-6a14-43e5-b03e-b145e9aea6f6","LumiNUS course site")</f>
      </c>
      <c r="F532" s="0" t="s">
        <v>926</v>
      </c>
      <c r="G532" s="0" t="s">
        <v>1037</v>
      </c>
      <c r="H532" s="3">
        <v>41</v>
      </c>
    </row>
    <row r="533">
      <c r="A533" s="0" t="s">
        <v>1047</v>
      </c>
      <c r="B533" s="0" t="s">
        <v>1048</v>
      </c>
      <c r="C533" s="5">
        <f>=HYPERLINK("https://nusmods.com/modules/CLC3304A#timetable","Timetable")</f>
      </c>
      <c r="D533" s="5">
        <f>=HYPERLINK("https://canvas.nus.edu.sg/courses/24070","Canvas course site")</f>
      </c>
      <c r="E533" s="5"/>
      <c r="F533" s="0" t="s">
        <v>926</v>
      </c>
      <c r="G533" s="0" t="s">
        <v>1037</v>
      </c>
      <c r="H533" s="3">
        <v>9</v>
      </c>
    </row>
    <row r="534">
      <c r="A534" s="0" t="s">
        <v>1049</v>
      </c>
      <c r="B534" s="0" t="s">
        <v>1050</v>
      </c>
      <c r="C534" s="5">
        <f>=HYPERLINK("https://nusmods.com/modules/CLC3307#timetable","Timetable")</f>
      </c>
      <c r="D534" s="5"/>
      <c r="E534" s="5">
        <f>=HYPERLINK("https://luminus.nus.edu.sg/modules/5f7df7c4-e391-44a4-a0f3-5572c375259e","LumiNUS course site")</f>
      </c>
      <c r="F534" s="0" t="s">
        <v>926</v>
      </c>
      <c r="G534" s="0" t="s">
        <v>1037</v>
      </c>
      <c r="H534" s="3">
        <v>7</v>
      </c>
    </row>
    <row r="535">
      <c r="A535" s="0" t="s">
        <v>1051</v>
      </c>
      <c r="B535" s="0" t="s">
        <v>1052</v>
      </c>
      <c r="C535" s="5">
        <f>=HYPERLINK("https://nusmods.com/modules/CM1102#timetable","Timetable")</f>
      </c>
      <c r="D535" s="5">
        <f>=HYPERLINK("https://canvas.nus.edu.sg/courses/24090","Canvas course site")</f>
      </c>
      <c r="E535" s="5"/>
      <c r="F535" s="0" t="s">
        <v>266</v>
      </c>
      <c r="G535" s="0" t="s">
        <v>1053</v>
      </c>
      <c r="H535" s="3">
        <v>234</v>
      </c>
    </row>
    <row r="536">
      <c r="A536" s="0" t="s">
        <v>1054</v>
      </c>
      <c r="B536" s="0" t="s">
        <v>1055</v>
      </c>
      <c r="C536" s="5">
        <f>=HYPERLINK("https://nusmods.com/modules/CM1417#timetable","Timetable")</f>
      </c>
      <c r="D536" s="5">
        <f>=HYPERLINK("https://canvas.nus.edu.sg/courses/22410","Canvas course site")</f>
      </c>
      <c r="E536" s="5">
        <f>=HYPERLINK("https://luminus.nus.edu.sg/modules/882efccf-ed0e-4e5a-a5df-1faa7b89e2e3","LumiNUS course site")</f>
      </c>
      <c r="F536" s="0" t="s">
        <v>266</v>
      </c>
      <c r="G536" s="0" t="s">
        <v>1053</v>
      </c>
      <c r="H536" s="3">
        <v>60</v>
      </c>
    </row>
    <row r="537">
      <c r="A537" s="0" t="s">
        <v>1056</v>
      </c>
      <c r="B537" s="0" t="s">
        <v>1057</v>
      </c>
      <c r="C537" s="5">
        <f>=HYPERLINK("https://nusmods.com/modules/CM2112#timetable","Timetable")</f>
      </c>
      <c r="D537" s="5">
        <f>=HYPERLINK("https://canvas.nus.edu.sg/courses/24097","Canvas course site")</f>
      </c>
      <c r="E537" s="5">
        <f>=HYPERLINK("https://luminus.nus.edu.sg/modules/b6495cc1-a07f-484b-864a-2ba860ed863b","LumiNUS course site")</f>
      </c>
      <c r="F537" s="0" t="s">
        <v>266</v>
      </c>
      <c r="G537" s="0" t="s">
        <v>1053</v>
      </c>
      <c r="H537" s="3">
        <v>80</v>
      </c>
    </row>
    <row r="538">
      <c r="A538" s="0" t="s">
        <v>1058</v>
      </c>
      <c r="B538" s="0" t="s">
        <v>1059</v>
      </c>
      <c r="C538" s="5">
        <f>=HYPERLINK("https://nusmods.com/modules/CM2122#timetable","Timetable")</f>
      </c>
      <c r="D538" s="5"/>
      <c r="E538" s="5">
        <f>=HYPERLINK("https://luminus.nus.edu.sg/modules/a75cecd5-e6f6-4b3e-bc86-266397f51978","LumiNUS course site")</f>
      </c>
      <c r="F538" s="0" t="s">
        <v>266</v>
      </c>
      <c r="G538" s="0" t="s">
        <v>1053</v>
      </c>
      <c r="H538" s="3">
        <v>80</v>
      </c>
    </row>
    <row r="539">
      <c r="A539" s="0" t="s">
        <v>1060</v>
      </c>
      <c r="B539" s="0" t="s">
        <v>1061</v>
      </c>
      <c r="C539" s="5">
        <f>=HYPERLINK("https://nusmods.com/modules/CM2133#timetable","Timetable")</f>
      </c>
      <c r="D539" s="5">
        <f>=HYPERLINK("https://canvas.nus.edu.sg/courses/24107","Canvas course site")</f>
      </c>
      <c r="E539" s="5"/>
      <c r="F539" s="0" t="s">
        <v>266</v>
      </c>
      <c r="G539" s="0" t="s">
        <v>1053</v>
      </c>
      <c r="H539" s="3">
        <v>24</v>
      </c>
    </row>
    <row r="540">
      <c r="A540" s="0" t="s">
        <v>1062</v>
      </c>
      <c r="B540" s="0" t="s">
        <v>1063</v>
      </c>
      <c r="C540" s="5">
        <f>=HYPERLINK("https://nusmods.com/modules/CM2143#timetable","Timetable")</f>
      </c>
      <c r="D540" s="5"/>
      <c r="E540" s="5">
        <f>=HYPERLINK("https://luminus.nus.edu.sg/modules/2445f569-cc39-430c-9a56-2f3f694bf072","LumiNUS course site")</f>
      </c>
      <c r="F540" s="0" t="s">
        <v>266</v>
      </c>
      <c r="G540" s="0" t="s">
        <v>1053</v>
      </c>
      <c r="H540" s="3">
        <v>55</v>
      </c>
    </row>
    <row r="541">
      <c r="A541" s="0" t="s">
        <v>1064</v>
      </c>
      <c r="B541" s="0" t="s">
        <v>1065</v>
      </c>
      <c r="C541" s="5">
        <f>=HYPERLINK("https://nusmods.com/modules/CM2288#timetable","Timetable")</f>
      </c>
      <c r="D541" s="5"/>
      <c r="E541" s="5">
        <f>=HYPERLINK("https://luminus.nus.edu.sg/modules/5c39d159-38b3-42d2-8c96-931b909f6f63","LumiNUS course site")</f>
      </c>
      <c r="F541" s="0" t="s">
        <v>266</v>
      </c>
      <c r="G541" s="0" t="s">
        <v>1053</v>
      </c>
      <c r="H541" s="3">
        <v>4</v>
      </c>
    </row>
    <row r="542">
      <c r="A542" s="0" t="s">
        <v>1066</v>
      </c>
      <c r="B542" s="0" t="s">
        <v>1067</v>
      </c>
      <c r="C542" s="5">
        <f>=HYPERLINK("https://nusmods.com/modules/CM2289#timetable","Timetable")</f>
      </c>
      <c r="D542" s="5"/>
      <c r="E542" s="5">
        <f>=HYPERLINK("https://luminus.nus.edu.sg/modules/5c39d159-38b3-42d2-8c96-931b909f6f63","LumiNUS course site")</f>
      </c>
      <c r="F542" s="0" t="s">
        <v>266</v>
      </c>
      <c r="G542" s="0" t="s">
        <v>1053</v>
      </c>
      <c r="H542" s="3">
        <v>2</v>
      </c>
    </row>
    <row r="543">
      <c r="A543" s="0" t="s">
        <v>1068</v>
      </c>
      <c r="B543" s="0" t="s">
        <v>1069</v>
      </c>
      <c r="C543" s="5">
        <f>=HYPERLINK("https://nusmods.com/modules/CM3212#timetable","Timetable")</f>
      </c>
      <c r="D543" s="5">
        <f>=HYPERLINK("https://canvas.nus.edu.sg/courses/22411","Canvas course site")</f>
      </c>
      <c r="E543" s="5">
        <f>=HYPERLINK("https://luminus.nus.edu.sg/modules/2c611f58-1791-45ce-82fc-8d4b0868dd27","LumiNUS course site")</f>
      </c>
      <c r="F543" s="0" t="s">
        <v>266</v>
      </c>
      <c r="G543" s="0" t="s">
        <v>1053</v>
      </c>
      <c r="H543" s="3">
        <v>44</v>
      </c>
    </row>
    <row r="544">
      <c r="A544" s="0" t="s">
        <v>1070</v>
      </c>
      <c r="B544" s="0" t="s">
        <v>1071</v>
      </c>
      <c r="C544" s="5">
        <f>=HYPERLINK("https://nusmods.com/modules/CM3221#timetable","Timetable")</f>
      </c>
      <c r="D544" s="5"/>
      <c r="E544" s="5">
        <f>=HYPERLINK("https://luminus.nus.edu.sg/modules/6a776b04-95f9-4d8d-8cc6-f39e180bb698","LumiNUS course site")</f>
      </c>
      <c r="F544" s="0" t="s">
        <v>266</v>
      </c>
      <c r="G544" s="0" t="s">
        <v>1053</v>
      </c>
      <c r="H544" s="3">
        <v>27</v>
      </c>
    </row>
    <row r="545">
      <c r="A545" s="0" t="s">
        <v>1072</v>
      </c>
      <c r="B545" s="0" t="s">
        <v>1073</v>
      </c>
      <c r="C545" s="5">
        <f>=HYPERLINK("https://nusmods.com/modules/CM3242#timetable","Timetable")</f>
      </c>
      <c r="D545" s="5"/>
      <c r="E545" s="5">
        <f>=HYPERLINK("https://luminus.nus.edu.sg/modules/cb6de230-5a18-4ab4-b1bf-88be309a1484","LumiNUS course site")</f>
      </c>
      <c r="F545" s="0" t="s">
        <v>266</v>
      </c>
      <c r="G545" s="0" t="s">
        <v>1053</v>
      </c>
      <c r="H545" s="3">
        <v>60</v>
      </c>
    </row>
    <row r="546">
      <c r="A546" s="0" t="s">
        <v>1074</v>
      </c>
      <c r="B546" s="0" t="s">
        <v>1075</v>
      </c>
      <c r="C546" s="5">
        <f>=HYPERLINK("https://nusmods.com/modules/CM3252#timetable","Timetable")</f>
      </c>
      <c r="D546" s="5"/>
      <c r="E546" s="5">
        <f>=HYPERLINK("https://luminus.nus.edu.sg/modules/b2661473-fbd4-4d83-8aed-e4e756bb578b","LumiNUS course site")</f>
      </c>
      <c r="F546" s="0" t="s">
        <v>266</v>
      </c>
      <c r="G546" s="0" t="s">
        <v>1053</v>
      </c>
      <c r="H546" s="3">
        <v>28</v>
      </c>
    </row>
    <row r="547">
      <c r="A547" s="0" t="s">
        <v>1076</v>
      </c>
      <c r="B547" s="0" t="s">
        <v>1077</v>
      </c>
      <c r="C547" s="5">
        <f>=HYPERLINK("https://nusmods.com/modules/CM3261#timetable","Timetable")</f>
      </c>
      <c r="D547" s="5"/>
      <c r="E547" s="5">
        <f>=HYPERLINK("https://luminus.nus.edu.sg/modules/e450f510-c852-4d8b-b78f-4011915849e4","LumiNUS course site")</f>
      </c>
      <c r="F547" s="0" t="s">
        <v>266</v>
      </c>
      <c r="G547" s="0" t="s">
        <v>1053</v>
      </c>
      <c r="H547" s="3">
        <v>16</v>
      </c>
    </row>
    <row r="548">
      <c r="A548" s="0" t="s">
        <v>1078</v>
      </c>
      <c r="B548" s="0" t="s">
        <v>1079</v>
      </c>
      <c r="C548" s="5">
        <f>=HYPERLINK("https://nusmods.com/modules/CM3267#timetable","Timetable")</f>
      </c>
      <c r="D548" s="5"/>
      <c r="E548" s="5">
        <f>=HYPERLINK("https://luminus.nus.edu.sg/modules/0dd3cabf-1fbd-4265-bf4d-d7f8214a4fb6","LumiNUS course site")</f>
      </c>
      <c r="F548" s="0" t="s">
        <v>266</v>
      </c>
      <c r="G548" s="0" t="s">
        <v>1053</v>
      </c>
      <c r="H548" s="3">
        <v>21</v>
      </c>
    </row>
    <row r="549">
      <c r="A549" s="0" t="s">
        <v>1080</v>
      </c>
      <c r="B549" s="0" t="s">
        <v>1081</v>
      </c>
      <c r="C549" s="5">
        <f>=HYPERLINK("https://nusmods.com/modules/CM3288#timetable","Timetable")</f>
      </c>
      <c r="D549" s="5"/>
      <c r="E549" s="5">
        <f>=HYPERLINK("https://luminus.nus.edu.sg/modules/5c39d159-38b3-42d2-8c96-931b909f6f63","LumiNUS course site")</f>
      </c>
      <c r="F549" s="0" t="s">
        <v>266</v>
      </c>
      <c r="G549" s="0" t="s">
        <v>1053</v>
      </c>
      <c r="H549" s="3">
        <v>11</v>
      </c>
    </row>
    <row r="550">
      <c r="A550" s="0" t="s">
        <v>1082</v>
      </c>
      <c r="B550" s="0" t="s">
        <v>1083</v>
      </c>
      <c r="C550" s="5">
        <f>=HYPERLINK("https://nusmods.com/modules/CM3289#timetable","Timetable")</f>
      </c>
      <c r="D550" s="5"/>
      <c r="E550" s="5">
        <f>=HYPERLINK("https://luminus.nus.edu.sg/modules/5c39d159-38b3-42d2-8c96-931b909f6f63","LumiNUS course site")</f>
      </c>
      <c r="F550" s="0" t="s">
        <v>266</v>
      </c>
      <c r="G550" s="0" t="s">
        <v>1053</v>
      </c>
      <c r="H550" s="3">
        <v>3</v>
      </c>
    </row>
    <row r="551">
      <c r="A551" s="0" t="s">
        <v>1084</v>
      </c>
      <c r="B551" s="0" t="s">
        <v>1085</v>
      </c>
      <c r="C551" s="5">
        <f>=HYPERLINK("https://nusmods.com/modules/CM3291#timetable","Timetable")</f>
      </c>
      <c r="D551" s="5"/>
      <c r="E551" s="5">
        <f>=HYPERLINK("https://luminus.nus.edu.sg/modules/04d3c96d-687e-439e-adc9-37756dcfdc9f","LumiNUS course site")</f>
      </c>
      <c r="F551" s="0" t="s">
        <v>266</v>
      </c>
      <c r="G551" s="0" t="s">
        <v>1053</v>
      </c>
      <c r="H551" s="3">
        <v>42</v>
      </c>
    </row>
    <row r="552">
      <c r="A552" s="0" t="s">
        <v>1086</v>
      </c>
      <c r="B552" s="0" t="s">
        <v>1087</v>
      </c>
      <c r="C552" s="5">
        <f>=HYPERLINK("https://nusmods.com/modules/CM3292#timetable","Timetable")</f>
      </c>
      <c r="D552" s="5"/>
      <c r="E552" s="5">
        <f>=HYPERLINK("https://luminus.nus.edu.sg/modules/09676317-1aaf-4f71-80e4-796418c65b9d","LumiNUS course site")</f>
      </c>
      <c r="F552" s="0" t="s">
        <v>266</v>
      </c>
      <c r="G552" s="0" t="s">
        <v>1053</v>
      </c>
      <c r="H552" s="3">
        <v>36</v>
      </c>
    </row>
    <row r="553">
      <c r="A553" s="0" t="s">
        <v>1088</v>
      </c>
      <c r="B553" s="0" t="s">
        <v>1089</v>
      </c>
      <c r="C553" s="5">
        <f>=HYPERLINK("https://nusmods.com/modules/CM3312#timetable","Timetable")</f>
      </c>
      <c r="D553" s="5"/>
      <c r="E553" s="5"/>
      <c r="F553" s="0" t="s">
        <v>266</v>
      </c>
      <c r="G553" s="0" t="s">
        <v>1053</v>
      </c>
      <c r="H553" s="3">
        <v>0</v>
      </c>
    </row>
    <row r="554">
      <c r="A554" s="0" t="s">
        <v>1090</v>
      </c>
      <c r="B554" s="0" t="s">
        <v>1091</v>
      </c>
      <c r="C554" s="5">
        <f>=HYPERLINK("https://nusmods.com/modules/CM4199A#timetable","Timetable")</f>
      </c>
      <c r="D554" s="5"/>
      <c r="E554" s="5">
        <f>=HYPERLINK("https://luminus.nus.edu.sg/modules/ef7fb53b-69a4-4c50-ad63-860aead1be94","LumiNUS course site")</f>
      </c>
      <c r="F554" s="0" t="s">
        <v>266</v>
      </c>
      <c r="G554" s="0" t="s">
        <v>1053</v>
      </c>
      <c r="H554" s="3">
        <v>45</v>
      </c>
    </row>
    <row r="555">
      <c r="A555" s="0" t="s">
        <v>1092</v>
      </c>
      <c r="B555" s="0" t="s">
        <v>1093</v>
      </c>
      <c r="C555" s="5">
        <f>=HYPERLINK("https://nusmods.com/modules/CM4225#timetable","Timetable")</f>
      </c>
      <c r="D555" s="5"/>
      <c r="E555" s="5">
        <f>=HYPERLINK("https://luminus.nus.edu.sg/modules/ef6e64aa-1c02-4e87-81bc-f08059c2a702","LumiNUS course site")</f>
      </c>
      <c r="F555" s="0" t="s">
        <v>266</v>
      </c>
      <c r="G555" s="0" t="s">
        <v>1053</v>
      </c>
      <c r="H555" s="3">
        <v>39</v>
      </c>
    </row>
    <row r="556">
      <c r="A556" s="0" t="s">
        <v>1094</v>
      </c>
      <c r="B556" s="0" t="s">
        <v>1095</v>
      </c>
      <c r="C556" s="5">
        <f>=HYPERLINK("https://nusmods.com/modules/CM4227#timetable","Timetable")</f>
      </c>
      <c r="D556" s="5"/>
      <c r="E556" s="5">
        <f>=HYPERLINK("https://luminus.nus.edu.sg/modules/712c84d8-d700-4652-b30f-1b779b317928","LumiNUS course site")</f>
      </c>
      <c r="F556" s="0" t="s">
        <v>266</v>
      </c>
      <c r="G556" s="0" t="s">
        <v>1053</v>
      </c>
      <c r="H556" s="3">
        <v>18</v>
      </c>
    </row>
    <row r="557">
      <c r="A557" s="0" t="s">
        <v>1096</v>
      </c>
      <c r="B557" s="0" t="s">
        <v>1097</v>
      </c>
      <c r="C557" s="5">
        <f>=HYPERLINK("https://nusmods.com/modules/CM4236#timetable","Timetable")</f>
      </c>
      <c r="D557" s="5"/>
      <c r="E557" s="5">
        <f>=HYPERLINK("https://luminus.nus.edu.sg/modules/20a6a3e8-6cd8-4360-86ba-52de18d151cb","LumiNUS course site")</f>
      </c>
      <c r="F557" s="0" t="s">
        <v>266</v>
      </c>
      <c r="G557" s="0" t="s">
        <v>1053</v>
      </c>
      <c r="H557" s="3">
        <v>19</v>
      </c>
    </row>
    <row r="558">
      <c r="A558" s="0" t="s">
        <v>1098</v>
      </c>
      <c r="B558" s="0" t="s">
        <v>1099</v>
      </c>
      <c r="C558" s="5">
        <f>=HYPERLINK("https://nusmods.com/modules/CM4242#timetable","Timetable")</f>
      </c>
      <c r="D558" s="5"/>
      <c r="E558" s="5">
        <f>=HYPERLINK("https://luminus.nus.edu.sg/modules/a6828d70-0c31-444d-a6d5-2035eb94dcc8","LumiNUS course site")</f>
      </c>
      <c r="F558" s="0" t="s">
        <v>266</v>
      </c>
      <c r="G558" s="0" t="s">
        <v>1053</v>
      </c>
      <c r="H558" s="3">
        <v>22</v>
      </c>
    </row>
    <row r="559">
      <c r="A559" s="0" t="s">
        <v>1100</v>
      </c>
      <c r="B559" s="0" t="s">
        <v>1101</v>
      </c>
      <c r="C559" s="5">
        <f>=HYPERLINK("https://nusmods.com/modules/CM4251#timetable","Timetable")</f>
      </c>
      <c r="D559" s="5"/>
      <c r="E559" s="5">
        <f>=HYPERLINK("https://luminus.nus.edu.sg/modules/2bcb1c5a-16c4-4c3e-a3b2-47dd61512312","LumiNUS course site")</f>
      </c>
      <c r="F559" s="0" t="s">
        <v>266</v>
      </c>
      <c r="G559" s="0" t="s">
        <v>1053</v>
      </c>
      <c r="H559" s="3">
        <v>20</v>
      </c>
    </row>
    <row r="560">
      <c r="A560" s="0" t="s">
        <v>1102</v>
      </c>
      <c r="B560" s="0" t="s">
        <v>1103</v>
      </c>
      <c r="C560" s="5">
        <f>=HYPERLINK("https://nusmods.com/modules/CM4253#timetable","Timetable")</f>
      </c>
      <c r="D560" s="5"/>
      <c r="E560" s="5">
        <f>=HYPERLINK("https://luminus.nus.edu.sg/modules/4ca74700-e846-4bc7-a7e9-70affe73cecd","LumiNUS course site")</f>
      </c>
      <c r="F560" s="0" t="s">
        <v>266</v>
      </c>
      <c r="G560" s="0" t="s">
        <v>1053</v>
      </c>
      <c r="H560" s="3">
        <v>14</v>
      </c>
    </row>
    <row r="561">
      <c r="A561" s="0" t="s">
        <v>1104</v>
      </c>
      <c r="B561" s="0" t="s">
        <v>1105</v>
      </c>
      <c r="C561" s="5">
        <f>=HYPERLINK("https://nusmods.com/modules/CM4254#timetable","Timetable")</f>
      </c>
      <c r="D561" s="5"/>
      <c r="E561" s="5">
        <f>=HYPERLINK("https://luminus.nus.edu.sg/modules/e55fe761-17ef-49eb-85bc-866cdb221daa","LumiNUS course site")</f>
      </c>
      <c r="F561" s="0" t="s">
        <v>266</v>
      </c>
      <c r="G561" s="0" t="s">
        <v>1053</v>
      </c>
      <c r="H561" s="3">
        <v>25</v>
      </c>
    </row>
    <row r="562">
      <c r="A562" s="0" t="s">
        <v>1106</v>
      </c>
      <c r="B562" s="0" t="s">
        <v>1107</v>
      </c>
      <c r="C562" s="5">
        <f>=HYPERLINK("https://nusmods.com/modules/CM4274#timetable","Timetable")</f>
      </c>
      <c r="D562" s="5"/>
      <c r="E562" s="5">
        <f>=HYPERLINK("https://luminus.nus.edu.sg/modules/df5d4c12-2bd3-4cf3-b4ee-6d23504e3e00","LumiNUS course site")</f>
      </c>
      <c r="F562" s="0" t="s">
        <v>266</v>
      </c>
      <c r="G562" s="0" t="s">
        <v>1053</v>
      </c>
      <c r="H562" s="3">
        <v>12</v>
      </c>
    </row>
    <row r="563">
      <c r="A563" s="0" t="s">
        <v>1108</v>
      </c>
      <c r="B563" s="0" t="s">
        <v>1109</v>
      </c>
      <c r="C563" s="5">
        <f>=HYPERLINK("https://nusmods.com/modules/CM4299#timetable","Timetable")</f>
      </c>
      <c r="D563" s="5"/>
      <c r="E563" s="5">
        <f>=HYPERLINK("https://luminus.nus.edu.sg/modules/ec59ab84-c67d-4299-ad54-124d1c2d6276","LumiNUS course site")</f>
      </c>
      <c r="F563" s="0" t="s">
        <v>266</v>
      </c>
      <c r="G563" s="0" t="s">
        <v>1053</v>
      </c>
      <c r="H563" s="3">
        <v>26</v>
      </c>
    </row>
    <row r="564">
      <c r="A564" s="0" t="s">
        <v>1110</v>
      </c>
      <c r="B564" s="0" t="s">
        <v>1111</v>
      </c>
      <c r="C564" s="5">
        <f>=HYPERLINK("https://nusmods.com/modules/CM5100#timetable","Timetable")</f>
      </c>
      <c r="D564" s="5"/>
      <c r="E564" s="5">
        <f>=HYPERLINK("https://luminus.nus.edu.sg/modules/65d24d1d-0277-457b-81c5-bed5f488e175","LumiNUS course site")</f>
      </c>
      <c r="F564" s="0" t="s">
        <v>266</v>
      </c>
      <c r="G564" s="0" t="s">
        <v>1053</v>
      </c>
      <c r="H564" s="3">
        <v>106</v>
      </c>
    </row>
    <row r="565">
      <c r="A565" s="0" t="s">
        <v>1112</v>
      </c>
      <c r="B565" s="0" t="s">
        <v>1113</v>
      </c>
      <c r="C565" s="5">
        <f>=HYPERLINK("https://nusmods.com/modules/CM5100A#timetable","Timetable")</f>
      </c>
      <c r="D565" s="5"/>
      <c r="E565" s="5"/>
      <c r="F565" s="0" t="s">
        <v>266</v>
      </c>
      <c r="G565" s="0" t="s">
        <v>1053</v>
      </c>
      <c r="H565" s="3">
        <v>0</v>
      </c>
    </row>
    <row r="566">
      <c r="A566" s="0" t="s">
        <v>1114</v>
      </c>
      <c r="B566" s="0" t="s">
        <v>1115</v>
      </c>
      <c r="C566" s="5">
        <f>=HYPERLINK("https://nusmods.com/modules/CM5102#timetable","Timetable")</f>
      </c>
      <c r="D566" s="5"/>
      <c r="E566" s="5">
        <f>=HYPERLINK("https://luminus.nus.edu.sg/modules/57f38f47-0b1d-444c-b764-cea14f039f0f","LumiNUS course site")</f>
      </c>
      <c r="F566" s="0" t="s">
        <v>266</v>
      </c>
      <c r="G566" s="0" t="s">
        <v>1053</v>
      </c>
      <c r="H566" s="3">
        <v>101</v>
      </c>
    </row>
    <row r="567">
      <c r="A567" s="0" t="s">
        <v>1116</v>
      </c>
      <c r="B567" s="0" t="s">
        <v>1117</v>
      </c>
      <c r="C567" s="5">
        <f>=HYPERLINK("https://nusmods.com/modules/CM5104#timetable","Timetable")</f>
      </c>
      <c r="D567" s="5"/>
      <c r="E567" s="5">
        <f>=HYPERLINK("https://luminus.nus.edu.sg/modules/6de73b66-823e-49b8-a64c-403298903f7f","LumiNUS course site")</f>
      </c>
      <c r="F567" s="0" t="s">
        <v>266</v>
      </c>
      <c r="G567" s="0" t="s">
        <v>1053</v>
      </c>
      <c r="H567" s="3">
        <v>101</v>
      </c>
    </row>
    <row r="568">
      <c r="A568" s="0" t="s">
        <v>1118</v>
      </c>
      <c r="B568" s="0" t="s">
        <v>1119</v>
      </c>
      <c r="C568" s="5">
        <f>=HYPERLINK("https://nusmods.com/modules/CM5151#timetable","Timetable")</f>
      </c>
      <c r="D568" s="5"/>
      <c r="E568" s="5"/>
      <c r="F568" s="0" t="s">
        <v>266</v>
      </c>
      <c r="G568" s="0" t="s">
        <v>1053</v>
      </c>
      <c r="H568" s="3">
        <v>36</v>
      </c>
    </row>
    <row r="569">
      <c r="A569" s="0" t="s">
        <v>1120</v>
      </c>
      <c r="B569" s="0" t="s">
        <v>1121</v>
      </c>
      <c r="C569" s="5">
        <f>=HYPERLINK("https://nusmods.com/modules/CM5161#timetable","Timetable")</f>
      </c>
      <c r="D569" s="5">
        <f>=HYPERLINK("https://canvas.nus.edu.sg/courses/24214","Canvas course site")</f>
      </c>
      <c r="E569" s="5"/>
      <c r="F569" s="0" t="s">
        <v>266</v>
      </c>
      <c r="G569" s="0" t="s">
        <v>1053</v>
      </c>
      <c r="H569" s="3">
        <v>70</v>
      </c>
    </row>
    <row r="570">
      <c r="A570" s="0" t="s">
        <v>1122</v>
      </c>
      <c r="B570" s="0" t="s">
        <v>1123</v>
      </c>
      <c r="C570" s="5">
        <f>=HYPERLINK("https://nusmods.com/modules/CM5198#timetable","Timetable")</f>
      </c>
      <c r="D570" s="5"/>
      <c r="E570" s="5">
        <f>=HYPERLINK("https://luminus.nus.edu.sg/modules/b201c10e-263c-4536-b051-90bd5fcbc224","LumiNUS course site")</f>
      </c>
      <c r="F570" s="0" t="s">
        <v>266</v>
      </c>
      <c r="G570" s="0" t="s">
        <v>1053</v>
      </c>
      <c r="H570" s="3">
        <v>59</v>
      </c>
    </row>
    <row r="571">
      <c r="A571" s="0" t="s">
        <v>1124</v>
      </c>
      <c r="B571" s="0" t="s">
        <v>1125</v>
      </c>
      <c r="C571" s="5">
        <f>=HYPERLINK("https://nusmods.com/modules/CM5199#timetable","Timetable")</f>
      </c>
      <c r="D571" s="5"/>
      <c r="E571" s="5"/>
      <c r="F571" s="0" t="s">
        <v>266</v>
      </c>
      <c r="G571" s="0" t="s">
        <v>1053</v>
      </c>
      <c r="H571" s="3">
        <v>0</v>
      </c>
    </row>
    <row r="572">
      <c r="A572" s="0" t="s">
        <v>1126</v>
      </c>
      <c r="B572" s="0" t="s">
        <v>1127</v>
      </c>
      <c r="C572" s="5">
        <f>=HYPERLINK("https://nusmods.com/modules/CM5221#timetable","Timetable")</f>
      </c>
      <c r="D572" s="5"/>
      <c r="E572" s="5">
        <f>=HYPERLINK("https://luminus.nus.edu.sg/modules/f8fa7483-cbc3-4116-8fd8-ca3462a645a9","LumiNUS course site")</f>
      </c>
      <c r="F572" s="0" t="s">
        <v>266</v>
      </c>
      <c r="G572" s="0" t="s">
        <v>1053</v>
      </c>
      <c r="H572" s="3">
        <v>36</v>
      </c>
    </row>
    <row r="573">
      <c r="A573" s="0" t="s">
        <v>1128</v>
      </c>
      <c r="B573" s="0" t="s">
        <v>1129</v>
      </c>
      <c r="C573" s="5">
        <f>=HYPERLINK("https://nusmods.com/modules/CM5224#timetable","Timetable")</f>
      </c>
      <c r="D573" s="5">
        <f>=HYPERLINK("https://canvas.nus.edu.sg/courses/24235","Canvas course site")</f>
      </c>
      <c r="E573" s="5"/>
      <c r="F573" s="0" t="s">
        <v>266</v>
      </c>
      <c r="G573" s="0" t="s">
        <v>1053</v>
      </c>
      <c r="H573" s="3">
        <v>142</v>
      </c>
    </row>
    <row r="574">
      <c r="A574" s="0" t="s">
        <v>1130</v>
      </c>
      <c r="B574" s="0" t="s">
        <v>1131</v>
      </c>
      <c r="C574" s="5">
        <f>=HYPERLINK("https://nusmods.com/modules/CM5235#timetable","Timetable")</f>
      </c>
      <c r="D574" s="5">
        <f>=HYPERLINK("https://canvas.nus.edu.sg/courses/24240","Canvas course site")</f>
      </c>
      <c r="E574" s="5"/>
      <c r="F574" s="0" t="s">
        <v>266</v>
      </c>
      <c r="G574" s="0" t="s">
        <v>1053</v>
      </c>
      <c r="H574" s="3">
        <v>46</v>
      </c>
    </row>
    <row r="575">
      <c r="A575" s="0" t="s">
        <v>1132</v>
      </c>
      <c r="B575" s="0" t="s">
        <v>1133</v>
      </c>
      <c r="C575" s="5">
        <f>=HYPERLINK("https://nusmods.com/modules/CM5237#timetable","Timetable")</f>
      </c>
      <c r="D575" s="5"/>
      <c r="E575" s="5">
        <f>=HYPERLINK("https://luminus.nus.edu.sg/modules/0b0e4ca6-c3e3-4c21-bbd0-c2a6548c5112","LumiNUS course site")</f>
      </c>
      <c r="F575" s="0" t="s">
        <v>266</v>
      </c>
      <c r="G575" s="0" t="s">
        <v>1053</v>
      </c>
      <c r="H575" s="3">
        <v>46</v>
      </c>
    </row>
    <row r="576">
      <c r="A576" s="0" t="s">
        <v>1134</v>
      </c>
      <c r="B576" s="0" t="s">
        <v>1135</v>
      </c>
      <c r="C576" s="5">
        <f>=HYPERLINK("https://nusmods.com/modules/CM5241#timetable","Timetable")</f>
      </c>
      <c r="D576" s="5"/>
      <c r="E576" s="5">
        <f>=HYPERLINK("https://luminus.nus.edu.sg/modules/cb84a907-521b-4bb8-82d7-2cef573a1ed6","LumiNUS course site")</f>
      </c>
      <c r="F576" s="0" t="s">
        <v>266</v>
      </c>
      <c r="G576" s="0" t="s">
        <v>1053</v>
      </c>
      <c r="H576" s="3">
        <v>20</v>
      </c>
    </row>
    <row r="577">
      <c r="A577" s="0" t="s">
        <v>1136</v>
      </c>
      <c r="B577" s="0" t="s">
        <v>1137</v>
      </c>
      <c r="C577" s="5">
        <f>=HYPERLINK("https://nusmods.com/modules/CM5268#timetable","Timetable")</f>
      </c>
      <c r="D577" s="5"/>
      <c r="E577" s="5">
        <f>=HYPERLINK("https://luminus.nus.edu.sg/modules/5ec7ed6a-6ee8-4c87-859c-d8691cc93603","LumiNUS course site")</f>
      </c>
      <c r="F577" s="0" t="s">
        <v>266</v>
      </c>
      <c r="G577" s="0" t="s">
        <v>1053</v>
      </c>
      <c r="H577" s="3">
        <v>56</v>
      </c>
    </row>
    <row r="578">
      <c r="A578" s="0" t="s">
        <v>1138</v>
      </c>
      <c r="B578" s="0" t="s">
        <v>1139</v>
      </c>
      <c r="C578" s="5">
        <f>=HYPERLINK("https://nusmods.com/modules/CN1101A#timetable","Timetable")</f>
      </c>
      <c r="D578" s="5">
        <f>=HYPERLINK("https://canvas.nus.edu.sg/courses/24261","Canvas course site")</f>
      </c>
      <c r="E578" s="5"/>
      <c r="F578" s="0" t="s">
        <v>10</v>
      </c>
      <c r="G578" s="0" t="s">
        <v>1140</v>
      </c>
      <c r="H578" s="3">
        <v>188</v>
      </c>
    </row>
    <row r="579">
      <c r="A579" s="0" t="s">
        <v>1141</v>
      </c>
      <c r="B579" s="0" t="s">
        <v>1142</v>
      </c>
      <c r="C579" s="5">
        <f>=HYPERLINK("https://nusmods.com/modules/CN2103#timetable","Timetable")</f>
      </c>
      <c r="D579" s="5">
        <f>=HYPERLINK("https://canvas.nus.edu.sg/courses/24265","Canvas course site")</f>
      </c>
      <c r="E579" s="5"/>
      <c r="F579" s="0" t="s">
        <v>10</v>
      </c>
      <c r="G579" s="0" t="s">
        <v>1140</v>
      </c>
      <c r="H579" s="3">
        <v>190</v>
      </c>
    </row>
    <row r="580">
      <c r="A580" s="0" t="s">
        <v>1143</v>
      </c>
      <c r="B580" s="0" t="s">
        <v>1144</v>
      </c>
      <c r="C580" s="5">
        <f>=HYPERLINK("https://nusmods.com/modules/CN2104#timetable","Timetable")</f>
      </c>
      <c r="D580" s="5"/>
      <c r="E580" s="5">
        <f>=HYPERLINK("https://luminus.nus.edu.sg/modules/b0c7b99b-d3c8-4944-9e27-2737d754496c","LumiNUS course site")</f>
      </c>
      <c r="F580" s="0" t="s">
        <v>10</v>
      </c>
      <c r="G580" s="0" t="s">
        <v>1140</v>
      </c>
      <c r="H580" s="3">
        <v>193</v>
      </c>
    </row>
    <row r="581">
      <c r="A581" s="0" t="s">
        <v>1145</v>
      </c>
      <c r="B581" s="0" t="s">
        <v>1146</v>
      </c>
      <c r="C581" s="5">
        <f>=HYPERLINK("https://nusmods.com/modules/CN2116#timetable","Timetable")</f>
      </c>
      <c r="D581" s="5"/>
      <c r="E581" s="5">
        <f>=HYPERLINK("https://luminus.nus.edu.sg/modules/7fd05da1-8619-492d-938f-bd5f4991d649","LumiNUS course site")</f>
      </c>
      <c r="F581" s="0" t="s">
        <v>10</v>
      </c>
      <c r="G581" s="0" t="s">
        <v>1140</v>
      </c>
      <c r="H581" s="3">
        <v>16</v>
      </c>
    </row>
    <row r="582">
      <c r="A582" s="0" t="s">
        <v>1147</v>
      </c>
      <c r="B582" s="0" t="s">
        <v>792</v>
      </c>
      <c r="C582" s="5">
        <f>=HYPERLINK("https://nusmods.com/modules/CN2122A#timetable","Timetable")</f>
      </c>
      <c r="D582" s="5"/>
      <c r="E582" s="5">
        <f>=HYPERLINK("https://luminus.nus.edu.sg/modules/4b51a5d3-c57d-4cca-a4cc-f844c1038006","LumiNUS course site")</f>
      </c>
      <c r="F582" s="0" t="s">
        <v>10</v>
      </c>
      <c r="G582" s="0" t="s">
        <v>1140</v>
      </c>
      <c r="H582" s="3">
        <v>6</v>
      </c>
    </row>
    <row r="583">
      <c r="A583" s="0" t="s">
        <v>1148</v>
      </c>
      <c r="B583" s="0" t="s">
        <v>1149</v>
      </c>
      <c r="C583" s="5">
        <f>=HYPERLINK("https://nusmods.com/modules/CN2125#timetable","Timetable")</f>
      </c>
      <c r="D583" s="5"/>
      <c r="E583" s="5">
        <f>=HYPERLINK("https://luminus.nus.edu.sg/modules/debd4baa-ac6f-4f4d-b733-eeed7ec62c6d","LumiNUS course site")</f>
      </c>
      <c r="F583" s="0" t="s">
        <v>10</v>
      </c>
      <c r="G583" s="0" t="s">
        <v>1140</v>
      </c>
      <c r="H583" s="3">
        <v>9</v>
      </c>
    </row>
    <row r="584">
      <c r="A584" s="0" t="s">
        <v>1150</v>
      </c>
      <c r="B584" s="0" t="s">
        <v>1151</v>
      </c>
      <c r="C584" s="5">
        <f>=HYPERLINK("https://nusmods.com/modules/CN3101#timetable","Timetable")</f>
      </c>
      <c r="D584" s="5">
        <f>=HYPERLINK("https://canvas.nus.edu.sg/courses/24297","Canvas course site")</f>
      </c>
      <c r="E584" s="5"/>
      <c r="F584" s="0" t="s">
        <v>10</v>
      </c>
      <c r="G584" s="0" t="s">
        <v>1140</v>
      </c>
      <c r="H584" s="3">
        <v>4</v>
      </c>
    </row>
    <row r="585">
      <c r="A585" s="0" t="s">
        <v>1152</v>
      </c>
      <c r="B585" s="0" t="s">
        <v>1153</v>
      </c>
      <c r="C585" s="5">
        <f>=HYPERLINK("https://nusmods.com/modules/CN3101A#timetable","Timetable")</f>
      </c>
      <c r="D585" s="5">
        <f>=HYPERLINK("https://canvas.nus.edu.sg/courses/24297","Canvas course site")</f>
      </c>
      <c r="E585" s="5"/>
      <c r="F585" s="0" t="s">
        <v>10</v>
      </c>
      <c r="G585" s="0" t="s">
        <v>1140</v>
      </c>
      <c r="H585" s="3">
        <v>141</v>
      </c>
    </row>
    <row r="586">
      <c r="A586" s="0" t="s">
        <v>1154</v>
      </c>
      <c r="B586" s="0" t="s">
        <v>1155</v>
      </c>
      <c r="C586" s="5">
        <f>=HYPERLINK("https://nusmods.com/modules/CN3102#timetable","Timetable")</f>
      </c>
      <c r="D586" s="5">
        <f>=HYPERLINK("https://canvas.nus.edu.sg/courses/24303","Canvas course site")</f>
      </c>
      <c r="E586" s="5"/>
      <c r="F586" s="0" t="s">
        <v>10</v>
      </c>
      <c r="G586" s="0" t="s">
        <v>1140</v>
      </c>
      <c r="H586" s="3">
        <v>1</v>
      </c>
    </row>
    <row r="587">
      <c r="A587" s="0" t="s">
        <v>1156</v>
      </c>
      <c r="B587" s="0" t="s">
        <v>1157</v>
      </c>
      <c r="C587" s="5">
        <f>=HYPERLINK("https://nusmods.com/modules/CN3109#timetable","Timetable")</f>
      </c>
      <c r="D587" s="5">
        <f>=HYPERLINK("https://canvas.nus.edu.sg/courses/24309","Canvas course site")</f>
      </c>
      <c r="E587" s="5"/>
      <c r="F587" s="0" t="s">
        <v>10</v>
      </c>
      <c r="G587" s="0" t="s">
        <v>1140</v>
      </c>
      <c r="H587" s="3">
        <v>0</v>
      </c>
    </row>
    <row r="588">
      <c r="A588" s="0" t="s">
        <v>1158</v>
      </c>
      <c r="B588" s="0" t="s">
        <v>1159</v>
      </c>
      <c r="C588" s="5">
        <f>=HYPERLINK("https://nusmods.com/modules/CN3121#timetable","Timetable")</f>
      </c>
      <c r="D588" s="5"/>
      <c r="E588" s="5">
        <f>=HYPERLINK("https://luminus.nus.edu.sg/modules/4838c1ee-c8e9-4c18-b798-2420a3fc3708","LumiNUS course site")</f>
      </c>
      <c r="F588" s="0" t="s">
        <v>10</v>
      </c>
      <c r="G588" s="0" t="s">
        <v>1140</v>
      </c>
      <c r="H588" s="3">
        <v>134</v>
      </c>
    </row>
    <row r="589">
      <c r="A589" s="0" t="s">
        <v>1160</v>
      </c>
      <c r="B589" s="0" t="s">
        <v>1161</v>
      </c>
      <c r="C589" s="5">
        <f>=HYPERLINK("https://nusmods.com/modules/CN3124A#timetable","Timetable")</f>
      </c>
      <c r="D589" s="5">
        <f>=HYPERLINK("https://canvas.nus.edu.sg/courses/24319","Canvas course site")</f>
      </c>
      <c r="E589" s="5"/>
      <c r="F589" s="0" t="s">
        <v>10</v>
      </c>
      <c r="G589" s="0" t="s">
        <v>1140</v>
      </c>
      <c r="H589" s="3">
        <v>11</v>
      </c>
    </row>
    <row r="590">
      <c r="A590" s="0" t="s">
        <v>1162</v>
      </c>
      <c r="B590" s="0" t="s">
        <v>1163</v>
      </c>
      <c r="C590" s="5">
        <f>=HYPERLINK("https://nusmods.com/modules/CN3132#timetable","Timetable")</f>
      </c>
      <c r="D590" s="5">
        <f>=HYPERLINK("https://canvas.nus.edu.sg/courses/24324","Canvas course site")</f>
      </c>
      <c r="E590" s="5">
        <f>=HYPERLINK("https://luminus.nus.edu.sg/modules/ca781017-47fb-4340-95c1-691ac28bb017","LumiNUS course site")</f>
      </c>
      <c r="F590" s="0" t="s">
        <v>10</v>
      </c>
      <c r="G590" s="0" t="s">
        <v>1140</v>
      </c>
      <c r="H590" s="3">
        <v>143</v>
      </c>
    </row>
    <row r="591">
      <c r="A591" s="0" t="s">
        <v>1164</v>
      </c>
      <c r="B591" s="0" t="s">
        <v>1165</v>
      </c>
      <c r="C591" s="5">
        <f>=HYPERLINK("https://nusmods.com/modules/CN3135#timetable","Timetable")</f>
      </c>
      <c r="D591" s="5"/>
      <c r="E591" s="5">
        <f>=HYPERLINK("https://luminus.nus.edu.sg/modules/6cd8e1e8-b024-488b-96ef-9bbb054df79f","LumiNUS course site")</f>
      </c>
      <c r="F591" s="0" t="s">
        <v>10</v>
      </c>
      <c r="G591" s="0" t="s">
        <v>1140</v>
      </c>
      <c r="H591" s="3">
        <v>85</v>
      </c>
    </row>
    <row r="592">
      <c r="A592" s="0" t="s">
        <v>1166</v>
      </c>
      <c r="B592" s="0" t="s">
        <v>1167</v>
      </c>
      <c r="C592" s="5">
        <f>=HYPERLINK("https://nusmods.com/modules/CN3421A#timetable","Timetable")</f>
      </c>
      <c r="D592" s="5"/>
      <c r="E592" s="5">
        <f>=HYPERLINK("https://luminus.nus.edu.sg/modules/fe6d0282-a4e3-45d1-af30-bb245f6f8d3a","LumiNUS course site")</f>
      </c>
      <c r="F592" s="0" t="s">
        <v>10</v>
      </c>
      <c r="G592" s="0" t="s">
        <v>1140</v>
      </c>
      <c r="H592" s="3">
        <v>122</v>
      </c>
    </row>
    <row r="593">
      <c r="A593" s="0" t="s">
        <v>1168</v>
      </c>
      <c r="B593" s="0" t="s">
        <v>612</v>
      </c>
      <c r="C593" s="5">
        <f>=HYPERLINK("https://nusmods.com/modules/CN4118#timetable","Timetable")</f>
      </c>
      <c r="D593" s="5">
        <f>=HYPERLINK("https://canvas.nus.edu.sg/courses/24337","Canvas course site")</f>
      </c>
      <c r="E593" s="5">
        <f>=HYPERLINK("https://luminus.nus.edu.sg/modules/df6c70c7-0495-4330-a045-cd7f46be742e","LumiNUS course site")</f>
      </c>
      <c r="F593" s="0" t="s">
        <v>10</v>
      </c>
      <c r="G593" s="0" t="s">
        <v>1140</v>
      </c>
      <c r="H593" s="3">
        <v>1</v>
      </c>
    </row>
    <row r="594">
      <c r="A594" s="0" t="s">
        <v>1169</v>
      </c>
      <c r="B594" s="0" t="s">
        <v>1170</v>
      </c>
      <c r="C594" s="5">
        <f>=HYPERLINK("https://nusmods.com/modules/CN4118N#timetable","Timetable")</f>
      </c>
      <c r="D594" s="5">
        <f>=HYPERLINK("https://canvas.nus.edu.sg/courses/24344","Canvas course site")</f>
      </c>
      <c r="E594" s="5"/>
      <c r="F594" s="0" t="s">
        <v>10</v>
      </c>
      <c r="G594" s="0" t="s">
        <v>1140</v>
      </c>
      <c r="H594" s="3">
        <v>16</v>
      </c>
    </row>
    <row r="595">
      <c r="A595" s="0" t="s">
        <v>1171</v>
      </c>
      <c r="B595" s="0" t="s">
        <v>1172</v>
      </c>
      <c r="C595" s="5">
        <f>=HYPERLINK("https://nusmods.com/modules/CN4119E#timetable","Timetable")</f>
      </c>
      <c r="D595" s="5"/>
      <c r="E595" s="5"/>
      <c r="F595" s="0" t="s">
        <v>1173</v>
      </c>
      <c r="G595" s="0" t="s">
        <v>1174</v>
      </c>
      <c r="H595" s="3">
        <v>0</v>
      </c>
    </row>
    <row r="596">
      <c r="A596" s="0" t="s">
        <v>1175</v>
      </c>
      <c r="B596" s="0" t="s">
        <v>1176</v>
      </c>
      <c r="C596" s="5">
        <f>=HYPERLINK("https://nusmods.com/modules/CN4122#timetable","Timetable")</f>
      </c>
      <c r="D596" s="5"/>
      <c r="E596" s="5">
        <f>=HYPERLINK("https://luminus.nus.edu.sg/modules/11dfa9e5-aa25-48d0-8a27-91d3a34747cd","LumiNUS course site")</f>
      </c>
      <c r="F596" s="0" t="s">
        <v>10</v>
      </c>
      <c r="G596" s="0" t="s">
        <v>1140</v>
      </c>
      <c r="H596" s="3">
        <v>169</v>
      </c>
    </row>
    <row r="597">
      <c r="A597" s="0" t="s">
        <v>1177</v>
      </c>
      <c r="B597" s="0" t="s">
        <v>1176</v>
      </c>
      <c r="C597" s="5">
        <f>=HYPERLINK("https://nusmods.com/modules/CN4122E#timetable","Timetable")</f>
      </c>
      <c r="D597" s="5"/>
      <c r="E597" s="5">
        <f>=HYPERLINK("https://luminus.nus.edu.sg/modules/c66014c3-9622-4be9-9967-14201e167668","LumiNUS course site")</f>
      </c>
      <c r="F597" s="0" t="s">
        <v>1173</v>
      </c>
      <c r="G597" s="0" t="s">
        <v>1174</v>
      </c>
      <c r="H597" s="3">
        <v>1</v>
      </c>
    </row>
    <row r="598">
      <c r="A598" s="0" t="s">
        <v>1178</v>
      </c>
      <c r="B598" s="0" t="s">
        <v>1176</v>
      </c>
      <c r="C598" s="5">
        <f>=HYPERLINK("https://nusmods.com/modules/CN4122N#timetable","Timetable")</f>
      </c>
      <c r="D598" s="5"/>
      <c r="E598" s="5">
        <f>=HYPERLINK("https://luminus.nus.edu.sg/modules/11dfa9e5-aa25-48d0-8a27-91d3a34747cd","LumiNUS course site")</f>
      </c>
      <c r="F598" s="0" t="s">
        <v>10</v>
      </c>
      <c r="G598" s="0" t="s">
        <v>1140</v>
      </c>
      <c r="H598" s="3">
        <v>8</v>
      </c>
    </row>
    <row r="599">
      <c r="A599" s="0" t="s">
        <v>1179</v>
      </c>
      <c r="B599" s="0" t="s">
        <v>1180</v>
      </c>
      <c r="C599" s="5">
        <f>=HYPERLINK("https://nusmods.com/modules/CN4203R#timetable","Timetable")</f>
      </c>
      <c r="D599" s="5"/>
      <c r="E599" s="5">
        <f>=HYPERLINK("https://luminus.nus.edu.sg/modules/29a7f93e-723e-4cc2-ac28-fde1fc249e21","LumiNUS course site")</f>
      </c>
      <c r="F599" s="0" t="s">
        <v>10</v>
      </c>
      <c r="G599" s="0" t="s">
        <v>1140</v>
      </c>
      <c r="H599" s="3">
        <v>29</v>
      </c>
    </row>
    <row r="600">
      <c r="A600" s="0" t="s">
        <v>1181</v>
      </c>
      <c r="B600" s="0" t="s">
        <v>1182</v>
      </c>
      <c r="C600" s="5">
        <f>=HYPERLINK("https://nusmods.com/modules/CN4205R#timetable","Timetable")</f>
      </c>
      <c r="D600" s="5"/>
      <c r="E600" s="5">
        <f>=HYPERLINK("https://luminus.nus.edu.sg/modules/b1200ed8-d92e-4a41-8313-4cd2e4188798","LumiNUS course site")</f>
      </c>
      <c r="F600" s="0" t="s">
        <v>10</v>
      </c>
      <c r="G600" s="0" t="s">
        <v>1140</v>
      </c>
      <c r="H600" s="3">
        <v>28</v>
      </c>
    </row>
    <row r="601">
      <c r="A601" s="0" t="s">
        <v>1183</v>
      </c>
      <c r="B601" s="0" t="s">
        <v>1184</v>
      </c>
      <c r="C601" s="5">
        <f>=HYPERLINK("https://nusmods.com/modules/CN4208E#timetable","Timetable")</f>
      </c>
      <c r="D601" s="5"/>
      <c r="E601" s="5">
        <f>=HYPERLINK("https://luminus.nus.edu.sg/modules/98eecd4e-ce7a-4b48-898e-f5c1a9c40c69","LumiNUS course site")</f>
      </c>
      <c r="F601" s="0" t="s">
        <v>1173</v>
      </c>
      <c r="G601" s="0" t="s">
        <v>1174</v>
      </c>
      <c r="H601" s="3">
        <v>1</v>
      </c>
    </row>
    <row r="602">
      <c r="A602" s="0" t="s">
        <v>1185</v>
      </c>
      <c r="B602" s="0" t="s">
        <v>1186</v>
      </c>
      <c r="C602" s="5">
        <f>=HYPERLINK("https://nusmods.com/modules/CN4215R#timetable","Timetable")</f>
      </c>
      <c r="D602" s="5"/>
      <c r="E602" s="5">
        <f>=HYPERLINK("https://luminus.nus.edu.sg/modules/7419aff2-29d3-4126-a241-9888ac895e7b","LumiNUS course site")</f>
      </c>
      <c r="F602" s="0" t="s">
        <v>10</v>
      </c>
      <c r="G602" s="0" t="s">
        <v>1140</v>
      </c>
      <c r="H602" s="3">
        <v>23</v>
      </c>
    </row>
    <row r="603">
      <c r="A603" s="0" t="s">
        <v>1187</v>
      </c>
      <c r="B603" s="0" t="s">
        <v>1188</v>
      </c>
      <c r="C603" s="5">
        <f>=HYPERLINK("https://nusmods.com/modules/CN4218#timetable","Timetable")</f>
      </c>
      <c r="D603" s="5">
        <f>=HYPERLINK("https://canvas.nus.edu.sg/courses/24399","Canvas course site")</f>
      </c>
      <c r="E603" s="5"/>
      <c r="F603" s="0" t="s">
        <v>10</v>
      </c>
      <c r="G603" s="0" t="s">
        <v>1140</v>
      </c>
      <c r="H603" s="3">
        <v>41</v>
      </c>
    </row>
    <row r="604">
      <c r="A604" s="0" t="s">
        <v>1189</v>
      </c>
      <c r="B604" s="0" t="s">
        <v>1190</v>
      </c>
      <c r="C604" s="5">
        <f>=HYPERLINK("https://nusmods.com/modules/CN4233R#timetable","Timetable")</f>
      </c>
      <c r="D604" s="5"/>
      <c r="E604" s="5">
        <f>=HYPERLINK("https://luminus.nus.edu.sg/modules/832501e3-5f66-4147-b617-e6875da1fc6c","LumiNUS course site")</f>
      </c>
      <c r="F604" s="0" t="s">
        <v>10</v>
      </c>
      <c r="G604" s="0" t="s">
        <v>1140</v>
      </c>
      <c r="H604" s="3">
        <v>40</v>
      </c>
    </row>
    <row r="605">
      <c r="A605" s="0" t="s">
        <v>1191</v>
      </c>
      <c r="B605" s="0" t="s">
        <v>1192</v>
      </c>
      <c r="C605" s="5">
        <f>=HYPERLINK("https://nusmods.com/modules/CN4238R#timetable","Timetable")</f>
      </c>
      <c r="D605" s="5"/>
      <c r="E605" s="5"/>
      <c r="F605" s="0" t="s">
        <v>10</v>
      </c>
      <c r="G605" s="0" t="s">
        <v>1140</v>
      </c>
      <c r="H605" s="3">
        <v>0</v>
      </c>
    </row>
    <row r="606">
      <c r="A606" s="0" t="s">
        <v>1193</v>
      </c>
      <c r="B606" s="0" t="s">
        <v>1194</v>
      </c>
      <c r="C606" s="5">
        <f>=HYPERLINK("https://nusmods.com/modules/CN4240R#timetable","Timetable")</f>
      </c>
      <c r="D606" s="5"/>
      <c r="E606" s="5">
        <f>=HYPERLINK("https://luminus.nus.edu.sg/modules/da2a08a4-489b-4806-a884-ee2413368f79","LumiNUS course site")</f>
      </c>
      <c r="F606" s="0" t="s">
        <v>10</v>
      </c>
      <c r="G606" s="0" t="s">
        <v>1140</v>
      </c>
      <c r="H606" s="3">
        <v>6</v>
      </c>
    </row>
    <row r="607">
      <c r="A607" s="0" t="s">
        <v>1195</v>
      </c>
      <c r="B607" s="0" t="s">
        <v>1196</v>
      </c>
      <c r="C607" s="5">
        <f>=HYPERLINK("https://nusmods.com/modules/CN4246E#timetable","Timetable")</f>
      </c>
      <c r="D607" s="5"/>
      <c r="E607" s="5">
        <f>=HYPERLINK("https://luminus.nus.edu.sg/modules/cf25e7fe-4b3f-4c59-9b6d-2f4778dc6a83","LumiNUS course site")</f>
      </c>
      <c r="F607" s="0" t="s">
        <v>1173</v>
      </c>
      <c r="G607" s="0" t="s">
        <v>1174</v>
      </c>
      <c r="H607" s="3">
        <v>1</v>
      </c>
    </row>
    <row r="608">
      <c r="A608" s="0" t="s">
        <v>1197</v>
      </c>
      <c r="B608" s="0" t="s">
        <v>1198</v>
      </c>
      <c r="C608" s="5">
        <f>=HYPERLINK("https://nusmods.com/modules/CN5010#timetable","Timetable")</f>
      </c>
      <c r="D608" s="5"/>
      <c r="E608" s="5">
        <f>=HYPERLINK("https://luminus.nus.edu.sg/modules/cbb7f411-4779-48f0-817c-d1a5837d33a6","LumiNUS course site")</f>
      </c>
      <c r="F608" s="0" t="s">
        <v>10</v>
      </c>
      <c r="G608" s="0" t="s">
        <v>1140</v>
      </c>
      <c r="H608" s="3">
        <v>63</v>
      </c>
    </row>
    <row r="609">
      <c r="A609" s="0" t="s">
        <v>1199</v>
      </c>
      <c r="B609" s="0" t="s">
        <v>1200</v>
      </c>
      <c r="C609" s="5">
        <f>=HYPERLINK("https://nusmods.com/modules/CN5160#timetable","Timetable")</f>
      </c>
      <c r="D609" s="5"/>
      <c r="E609" s="5">
        <f>=HYPERLINK("https://luminus.nus.edu.sg/modules/07cc900d-954c-4991-b84f-a084a9b42bda","LumiNUS course site")</f>
      </c>
      <c r="F609" s="0" t="s">
        <v>10</v>
      </c>
      <c r="G609" s="0" t="s">
        <v>1140</v>
      </c>
      <c r="H609" s="3">
        <v>29</v>
      </c>
    </row>
    <row r="610">
      <c r="A610" s="0" t="s">
        <v>1201</v>
      </c>
      <c r="B610" s="0" t="s">
        <v>1202</v>
      </c>
      <c r="C610" s="5">
        <f>=HYPERLINK("https://nusmods.com/modules/CN5162#timetable","Timetable")</f>
      </c>
      <c r="D610" s="5">
        <f>=HYPERLINK("https://canvas.nus.edu.sg/courses/24443","Canvas course site")</f>
      </c>
      <c r="E610" s="5"/>
      <c r="F610" s="0" t="s">
        <v>10</v>
      </c>
      <c r="G610" s="0" t="s">
        <v>1140</v>
      </c>
      <c r="H610" s="3">
        <v>64</v>
      </c>
    </row>
    <row r="611">
      <c r="A611" s="0" t="s">
        <v>1203</v>
      </c>
      <c r="B611" s="0" t="s">
        <v>1204</v>
      </c>
      <c r="C611" s="5">
        <f>=HYPERLINK("https://nusmods.com/modules/CN5173#timetable","Timetable")</f>
      </c>
      <c r="D611" s="5"/>
      <c r="E611" s="5">
        <f>=HYPERLINK("https://luminus.nus.edu.sg/modules/9fa447f3-66a4-4bad-b035-7d1eee743aef","LumiNUS course site")</f>
      </c>
      <c r="F611" s="0" t="s">
        <v>10</v>
      </c>
      <c r="G611" s="0" t="s">
        <v>1140</v>
      </c>
      <c r="H611" s="3">
        <v>30</v>
      </c>
    </row>
    <row r="612">
      <c r="A612" s="0" t="s">
        <v>1205</v>
      </c>
      <c r="B612" s="0" t="s">
        <v>1206</v>
      </c>
      <c r="C612" s="5">
        <f>=HYPERLINK("https://nusmods.com/modules/CN5190#timetable","Timetable")</f>
      </c>
      <c r="D612" s="5"/>
      <c r="E612" s="5">
        <f>=HYPERLINK("https://luminus.nus.edu.sg/modules/e0704666-1974-4ca6-8205-35cc3c466bfc","LumiNUS course site")</f>
      </c>
      <c r="F612" s="0" t="s">
        <v>10</v>
      </c>
      <c r="G612" s="0" t="s">
        <v>1140</v>
      </c>
      <c r="H612" s="3">
        <v>73</v>
      </c>
    </row>
    <row r="613">
      <c r="A613" s="0" t="s">
        <v>1207</v>
      </c>
      <c r="B613" s="0" t="s">
        <v>1208</v>
      </c>
      <c r="C613" s="5">
        <f>=HYPERLINK("https://nusmods.com/modules/CN5191#timetable","Timetable")</f>
      </c>
      <c r="D613" s="5">
        <f>=HYPERLINK("https://canvas.nus.edu.sg/courses/24458","Canvas course site")</f>
      </c>
      <c r="E613" s="5"/>
      <c r="F613" s="0" t="s">
        <v>10</v>
      </c>
      <c r="G613" s="0" t="s">
        <v>1140</v>
      </c>
      <c r="H613" s="3">
        <v>38</v>
      </c>
    </row>
    <row r="614">
      <c r="A614" s="0" t="s">
        <v>1209</v>
      </c>
      <c r="B614" s="0" t="s">
        <v>1210</v>
      </c>
      <c r="C614" s="5">
        <f>=HYPERLINK("https://nusmods.com/modules/CN5192#timetable","Timetable")</f>
      </c>
      <c r="D614" s="5"/>
      <c r="E614" s="5">
        <f>=HYPERLINK("https://luminus.nus.edu.sg/modules/4d0027c3-c6cb-4d76-afea-96cc60aca1c0","LumiNUS course site")</f>
      </c>
      <c r="F614" s="0" t="s">
        <v>10</v>
      </c>
      <c r="G614" s="0" t="s">
        <v>1140</v>
      </c>
      <c r="H614" s="3">
        <v>58</v>
      </c>
    </row>
    <row r="615">
      <c r="A615" s="0" t="s">
        <v>1211</v>
      </c>
      <c r="B615" s="0" t="s">
        <v>1212</v>
      </c>
      <c r="C615" s="5">
        <f>=HYPERLINK("https://nusmods.com/modules/CN5216#timetable","Timetable")</f>
      </c>
      <c r="D615" s="5">
        <f>=HYPERLINK("https://canvas.nus.edu.sg/courses/24467","Canvas course site")</f>
      </c>
      <c r="E615" s="5"/>
      <c r="F615" s="0" t="s">
        <v>10</v>
      </c>
      <c r="G615" s="0" t="s">
        <v>1140</v>
      </c>
      <c r="H615" s="3">
        <v>40</v>
      </c>
    </row>
    <row r="616">
      <c r="A616" s="0" t="s">
        <v>1213</v>
      </c>
      <c r="B616" s="0" t="s">
        <v>1214</v>
      </c>
      <c r="C616" s="5">
        <f>=HYPERLINK("https://nusmods.com/modules/CN5246#timetable","Timetable")</f>
      </c>
      <c r="D616" s="5"/>
      <c r="E616" s="5">
        <f>=HYPERLINK("https://luminus.nus.edu.sg/modules/556fd0dc-524b-4393-b4cb-37e86469ff72","LumiNUS course site")</f>
      </c>
      <c r="F616" s="0" t="s">
        <v>10</v>
      </c>
      <c r="G616" s="0" t="s">
        <v>1140</v>
      </c>
      <c r="H616" s="3">
        <v>28</v>
      </c>
    </row>
    <row r="617">
      <c r="A617" s="0" t="s">
        <v>1215</v>
      </c>
      <c r="B617" s="0" t="s">
        <v>1216</v>
      </c>
      <c r="C617" s="5">
        <f>=HYPERLINK("https://nusmods.com/modules/CN5251#timetable","Timetable")</f>
      </c>
      <c r="D617" s="5"/>
      <c r="E617" s="5">
        <f>=HYPERLINK("https://luminus.nus.edu.sg/modules/384f1728-63fe-4859-ae5c-4f47806e1972","LumiNUS course site")</f>
      </c>
      <c r="F617" s="0" t="s">
        <v>10</v>
      </c>
      <c r="G617" s="0" t="s">
        <v>1140</v>
      </c>
      <c r="H617" s="3">
        <v>52</v>
      </c>
    </row>
    <row r="618">
      <c r="A618" s="0" t="s">
        <v>1217</v>
      </c>
      <c r="B618" s="0" t="s">
        <v>1218</v>
      </c>
      <c r="C618" s="5">
        <f>=HYPERLINK("https://nusmods.com/modules/CN5432#timetable","Timetable")</f>
      </c>
      <c r="D618" s="5">
        <f>=HYPERLINK("https://canvas.nus.edu.sg/courses/24483","Canvas course site")</f>
      </c>
      <c r="E618" s="5"/>
      <c r="F618" s="0" t="s">
        <v>10</v>
      </c>
      <c r="G618" s="0" t="s">
        <v>1140</v>
      </c>
      <c r="H618" s="3">
        <v>33</v>
      </c>
    </row>
    <row r="619">
      <c r="A619" s="0" t="s">
        <v>1219</v>
      </c>
      <c r="B619" s="0" t="s">
        <v>1220</v>
      </c>
      <c r="C619" s="5">
        <f>=HYPERLINK("https://nusmods.com/modules/CN5550#timetable","Timetable")</f>
      </c>
      <c r="D619" s="5"/>
      <c r="E619" s="5">
        <f>=HYPERLINK("https://luminus.nus.edu.sg/modules/098e7862-383f-4f3e-ba25-8b827d281e0d","LumiNUS course site")</f>
      </c>
      <c r="F619" s="0" t="s">
        <v>10</v>
      </c>
      <c r="G619" s="0" t="s">
        <v>1140</v>
      </c>
      <c r="H619" s="3">
        <v>4</v>
      </c>
    </row>
    <row r="620">
      <c r="A620" s="0" t="s">
        <v>1221</v>
      </c>
      <c r="B620" s="0" t="s">
        <v>1222</v>
      </c>
      <c r="C620" s="5">
        <f>=HYPERLINK("https://nusmods.com/modules/CN5555#timetable","Timetable")</f>
      </c>
      <c r="D620" s="5"/>
      <c r="E620" s="5"/>
      <c r="F620" s="0" t="s">
        <v>10</v>
      </c>
      <c r="G620" s="0" t="s">
        <v>1140</v>
      </c>
      <c r="H620" s="3">
        <v>14</v>
      </c>
    </row>
    <row r="621">
      <c r="A621" s="0" t="s">
        <v>1223</v>
      </c>
      <c r="B621" s="0" t="s">
        <v>647</v>
      </c>
      <c r="C621" s="5">
        <f>=HYPERLINK("https://nusmods.com/modules/CN5666#timetable","Timetable")</f>
      </c>
      <c r="D621" s="5"/>
      <c r="E621" s="5"/>
      <c r="F621" s="0" t="s">
        <v>10</v>
      </c>
      <c r="G621" s="0" t="s">
        <v>1140</v>
      </c>
      <c r="H621" s="3">
        <v>1</v>
      </c>
    </row>
    <row r="622">
      <c r="A622" s="0" t="s">
        <v>1224</v>
      </c>
      <c r="B622" s="0" t="s">
        <v>649</v>
      </c>
      <c r="C622" s="5">
        <f>=HYPERLINK("https://nusmods.com/modules/CN5999#timetable","Timetable")</f>
      </c>
      <c r="D622" s="5"/>
      <c r="E622" s="5"/>
      <c r="F622" s="0" t="s">
        <v>10</v>
      </c>
      <c r="G622" s="0" t="s">
        <v>1140</v>
      </c>
      <c r="H622" s="3">
        <v>32</v>
      </c>
    </row>
    <row r="623">
      <c r="A623" s="0" t="s">
        <v>1225</v>
      </c>
      <c r="B623" s="0" t="s">
        <v>1226</v>
      </c>
      <c r="C623" s="5">
        <f>=HYPERLINK("https://nusmods.com/modules/CN6251#timetable","Timetable")</f>
      </c>
      <c r="D623" s="5"/>
      <c r="E623" s="5">
        <f>=HYPERLINK("https://luminus.nus.edu.sg/modules/384f1728-63fe-4859-ae5c-4f47806e1972","LumiNUS course site")</f>
      </c>
      <c r="F623" s="0" t="s">
        <v>10</v>
      </c>
      <c r="G623" s="0" t="s">
        <v>1140</v>
      </c>
      <c r="H623" s="3">
        <v>11</v>
      </c>
    </row>
    <row r="624">
      <c r="A624" s="0" t="s">
        <v>1227</v>
      </c>
      <c r="B624" s="0" t="s">
        <v>651</v>
      </c>
      <c r="C624" s="5">
        <f>=HYPERLINK("https://nusmods.com/modules/CN6999#timetable","Timetable")</f>
      </c>
      <c r="D624" s="5"/>
      <c r="E624" s="5"/>
      <c r="F624" s="0" t="s">
        <v>10</v>
      </c>
      <c r="G624" s="0" t="s">
        <v>1140</v>
      </c>
      <c r="H624" s="3">
        <v>167</v>
      </c>
    </row>
    <row r="625">
      <c r="A625" s="0" t="s">
        <v>1228</v>
      </c>
      <c r="B625" s="0" t="s">
        <v>1229</v>
      </c>
      <c r="C625" s="5">
        <f>=HYPERLINK("https://nusmods.com/modules/COS1000#timetable","Timetable")</f>
      </c>
      <c r="D625" s="5"/>
      <c r="E625" s="5">
        <f>=HYPERLINK("https://luminus.nus.edu.sg/modules/a3c87826-cf69-442d-be0c-0702d3b8d2fe","LumiNUS course site")</f>
      </c>
      <c r="F625" s="0" t="s">
        <v>266</v>
      </c>
      <c r="G625" s="0" t="s">
        <v>1230</v>
      </c>
      <c r="H625" s="3">
        <v>275</v>
      </c>
    </row>
    <row r="626">
      <c r="A626" s="0" t="s">
        <v>1231</v>
      </c>
      <c r="B626" s="0" t="s">
        <v>1232</v>
      </c>
      <c r="C626" s="5">
        <f>=HYPERLINK("https://nusmods.com/modules/CP2106#timetable","Timetable")</f>
      </c>
      <c r="D626" s="5"/>
      <c r="E626" s="5">
        <f>=HYPERLINK("https://luminus.nus.edu.sg/modules/c834182a-dbc8-4438-9959-d21d7d8b2ab4","LumiNUS course site")</f>
      </c>
      <c r="F626" s="0" t="s">
        <v>724</v>
      </c>
      <c r="G626" s="0" t="s">
        <v>1233</v>
      </c>
      <c r="H626" s="3">
        <v>820</v>
      </c>
    </row>
    <row r="627">
      <c r="A627" s="0" t="s">
        <v>1234</v>
      </c>
      <c r="B627" s="0" t="s">
        <v>1235</v>
      </c>
      <c r="C627" s="5">
        <f>=HYPERLINK("https://nusmods.com/modules/CP3106#timetable","Timetable")</f>
      </c>
      <c r="D627" s="5"/>
      <c r="E627" s="5"/>
      <c r="F627" s="0" t="s">
        <v>724</v>
      </c>
      <c r="G627" s="0" t="s">
        <v>1233</v>
      </c>
      <c r="H627" s="3">
        <v>7</v>
      </c>
    </row>
    <row r="628">
      <c r="A628" s="0" t="s">
        <v>1236</v>
      </c>
      <c r="B628" s="0" t="s">
        <v>1237</v>
      </c>
      <c r="C628" s="5">
        <f>=HYPERLINK("https://nusmods.com/modules/CP3107#timetable","Timetable")</f>
      </c>
      <c r="D628" s="5"/>
      <c r="E628" s="5"/>
      <c r="F628" s="0" t="s">
        <v>724</v>
      </c>
      <c r="G628" s="0" t="s">
        <v>762</v>
      </c>
      <c r="H628" s="3">
        <v>0</v>
      </c>
    </row>
    <row r="629">
      <c r="A629" s="0" t="s">
        <v>1238</v>
      </c>
      <c r="B629" s="0" t="s">
        <v>1239</v>
      </c>
      <c r="C629" s="5">
        <f>=HYPERLINK("https://nusmods.com/modules/CP3108A#timetable","Timetable")</f>
      </c>
      <c r="D629" s="5"/>
      <c r="E629" s="5"/>
      <c r="F629" s="0" t="s">
        <v>724</v>
      </c>
      <c r="G629" s="0" t="s">
        <v>1233</v>
      </c>
      <c r="H629" s="3">
        <v>8</v>
      </c>
    </row>
    <row r="630">
      <c r="A630" s="0" t="s">
        <v>1240</v>
      </c>
      <c r="B630" s="0" t="s">
        <v>1239</v>
      </c>
      <c r="C630" s="5">
        <f>=HYPERLINK("https://nusmods.com/modules/CP3108B#timetable","Timetable")</f>
      </c>
      <c r="D630" s="5"/>
      <c r="E630" s="5"/>
      <c r="F630" s="0" t="s">
        <v>724</v>
      </c>
      <c r="G630" s="0" t="s">
        <v>1233</v>
      </c>
      <c r="H630" s="3">
        <v>39</v>
      </c>
    </row>
    <row r="631">
      <c r="A631" s="0" t="s">
        <v>1241</v>
      </c>
      <c r="B631" s="0" t="s">
        <v>1242</v>
      </c>
      <c r="C631" s="5">
        <f>=HYPERLINK("https://nusmods.com/modules/CP3201#timetable","Timetable")</f>
      </c>
      <c r="D631" s="5"/>
      <c r="E631" s="5">
        <f>=HYPERLINK("https://luminus.nus.edu.sg/modules/84798a77-c884-45f8-9d46-3798fc09745b","LumiNUS course site")</f>
      </c>
      <c r="F631" s="0" t="s">
        <v>724</v>
      </c>
      <c r="G631" s="0" t="s">
        <v>1233</v>
      </c>
      <c r="H631" s="3">
        <v>127</v>
      </c>
    </row>
    <row r="632">
      <c r="A632" s="0" t="s">
        <v>1243</v>
      </c>
      <c r="B632" s="0" t="s">
        <v>1244</v>
      </c>
      <c r="C632" s="5">
        <f>=HYPERLINK("https://nusmods.com/modules/CP3208#timetable","Timetable")</f>
      </c>
      <c r="D632" s="5"/>
      <c r="E632" s="5"/>
      <c r="F632" s="0" t="s">
        <v>724</v>
      </c>
      <c r="G632" s="0" t="s">
        <v>1233</v>
      </c>
      <c r="H632" s="3">
        <v>0</v>
      </c>
    </row>
    <row r="633">
      <c r="A633" s="0" t="s">
        <v>1245</v>
      </c>
      <c r="B633" s="0" t="s">
        <v>1246</v>
      </c>
      <c r="C633" s="5">
        <f>=HYPERLINK("https://nusmods.com/modules/CP3209#timetable","Timetable")</f>
      </c>
      <c r="D633" s="5"/>
      <c r="E633" s="5">
        <f>=HYPERLINK("https://luminus.nus.edu.sg/modules/66465372-a6c8-4346-8bb4-68b1d7119215","LumiNUS course site")</f>
      </c>
      <c r="F633" s="0" t="s">
        <v>724</v>
      </c>
      <c r="G633" s="0" t="s">
        <v>1233</v>
      </c>
      <c r="H633" s="3">
        <v>24</v>
      </c>
    </row>
    <row r="634">
      <c r="A634" s="0" t="s">
        <v>1247</v>
      </c>
      <c r="B634" s="0" t="s">
        <v>1248</v>
      </c>
      <c r="C634" s="5">
        <f>=HYPERLINK("https://nusmods.com/modules/CP3880#timetable","Timetable")</f>
      </c>
      <c r="D634" s="5"/>
      <c r="E634" s="5"/>
      <c r="F634" s="0" t="s">
        <v>724</v>
      </c>
      <c r="G634" s="0" t="s">
        <v>1233</v>
      </c>
      <c r="H634" s="3">
        <v>308</v>
      </c>
    </row>
    <row r="635">
      <c r="A635" s="0" t="s">
        <v>1249</v>
      </c>
      <c r="B635" s="0" t="s">
        <v>1250</v>
      </c>
      <c r="C635" s="5">
        <f>=HYPERLINK("https://nusmods.com/modules/CP4101#timetable","Timetable")</f>
      </c>
      <c r="D635" s="5"/>
      <c r="E635" s="5"/>
      <c r="F635" s="0" t="s">
        <v>724</v>
      </c>
      <c r="G635" s="0" t="s">
        <v>1233</v>
      </c>
      <c r="H635" s="3">
        <v>129</v>
      </c>
    </row>
    <row r="636">
      <c r="A636" s="0" t="s">
        <v>1251</v>
      </c>
      <c r="B636" s="0" t="s">
        <v>1252</v>
      </c>
      <c r="C636" s="5">
        <f>=HYPERLINK("https://nusmods.com/modules/CP4106#timetable","Timetable")</f>
      </c>
      <c r="D636" s="5"/>
      <c r="E636" s="5"/>
      <c r="F636" s="0" t="s">
        <v>724</v>
      </c>
      <c r="G636" s="0" t="s">
        <v>762</v>
      </c>
      <c r="H636" s="3">
        <v>1</v>
      </c>
    </row>
    <row r="637">
      <c r="A637" s="0" t="s">
        <v>1253</v>
      </c>
      <c r="B637" s="0" t="s">
        <v>1254</v>
      </c>
      <c r="C637" s="5">
        <f>=HYPERLINK("https://nusmods.com/modules/CP5010#timetable","Timetable")</f>
      </c>
      <c r="D637" s="5"/>
      <c r="E637" s="5"/>
      <c r="F637" s="0" t="s">
        <v>724</v>
      </c>
      <c r="G637" s="0" t="s">
        <v>1233</v>
      </c>
      <c r="H637" s="3">
        <v>83</v>
      </c>
    </row>
    <row r="638">
      <c r="A638" s="0" t="s">
        <v>1255</v>
      </c>
      <c r="B638" s="0" t="s">
        <v>1256</v>
      </c>
      <c r="C638" s="5">
        <f>=HYPERLINK("https://nusmods.com/modules/CP5101#timetable","Timetable")</f>
      </c>
      <c r="D638" s="5"/>
      <c r="E638" s="5"/>
      <c r="F638" s="0" t="s">
        <v>724</v>
      </c>
      <c r="G638" s="0" t="s">
        <v>1233</v>
      </c>
      <c r="H638" s="3">
        <v>59</v>
      </c>
    </row>
    <row r="639">
      <c r="A639" s="0" t="s">
        <v>1257</v>
      </c>
      <c r="B639" s="0" t="s">
        <v>1258</v>
      </c>
      <c r="C639" s="5">
        <f>=HYPERLINK("https://nusmods.com/modules/CP5102#timetable","Timetable")</f>
      </c>
      <c r="D639" s="5"/>
      <c r="E639" s="5"/>
      <c r="F639" s="0" t="s">
        <v>724</v>
      </c>
      <c r="G639" s="0" t="s">
        <v>1233</v>
      </c>
      <c r="H639" s="3">
        <v>13</v>
      </c>
    </row>
    <row r="640">
      <c r="A640" s="0" t="s">
        <v>1259</v>
      </c>
      <c r="B640" s="0" t="s">
        <v>1260</v>
      </c>
      <c r="C640" s="5">
        <f>=HYPERLINK("https://nusmods.com/modules/CP5103#timetable","Timetable")</f>
      </c>
      <c r="D640" s="5"/>
      <c r="E640" s="5"/>
      <c r="F640" s="0" t="s">
        <v>724</v>
      </c>
      <c r="G640" s="0" t="s">
        <v>1233</v>
      </c>
      <c r="H640" s="3">
        <v>7</v>
      </c>
    </row>
    <row r="641">
      <c r="A641" s="0" t="s">
        <v>1261</v>
      </c>
      <c r="B641" s="0" t="s">
        <v>1262</v>
      </c>
      <c r="C641" s="5">
        <f>=HYPERLINK("https://nusmods.com/modules/CP5104#timetable","Timetable")</f>
      </c>
      <c r="D641" s="5"/>
      <c r="E641" s="5"/>
      <c r="F641" s="0" t="s">
        <v>724</v>
      </c>
      <c r="G641" s="0" t="s">
        <v>1233</v>
      </c>
      <c r="H641" s="3">
        <v>0</v>
      </c>
    </row>
    <row r="642">
      <c r="A642" s="0" t="s">
        <v>1263</v>
      </c>
      <c r="B642" s="0" t="s">
        <v>1264</v>
      </c>
      <c r="C642" s="5">
        <f>=HYPERLINK("https://nusmods.com/modules/CP5105#timetable","Timetable")</f>
      </c>
      <c r="D642" s="5"/>
      <c r="E642" s="5"/>
      <c r="F642" s="0" t="s">
        <v>724</v>
      </c>
      <c r="G642" s="0" t="s">
        <v>1233</v>
      </c>
      <c r="H642" s="3">
        <v>57</v>
      </c>
    </row>
    <row r="643">
      <c r="A643" s="0" t="s">
        <v>1265</v>
      </c>
      <c r="B643" s="0" t="s">
        <v>1266</v>
      </c>
      <c r="C643" s="5">
        <f>=HYPERLINK("https://nusmods.com/modules/CP6010#timetable","Timetable")</f>
      </c>
      <c r="D643" s="5"/>
      <c r="E643" s="5"/>
      <c r="F643" s="0" t="s">
        <v>724</v>
      </c>
      <c r="G643" s="0" t="s">
        <v>1233</v>
      </c>
      <c r="H643" s="3">
        <v>26</v>
      </c>
    </row>
    <row r="644">
      <c r="A644" s="0" t="s">
        <v>1267</v>
      </c>
      <c r="B644" s="0" t="s">
        <v>1268</v>
      </c>
      <c r="C644" s="5">
        <f>=HYPERLINK("https://nusmods.com/modules/CS1010#timetable","Timetable")</f>
      </c>
      <c r="D644" s="5">
        <f>=HYPERLINK("https://canvas.nus.edu.sg/courses/22421","Canvas course site")</f>
      </c>
      <c r="E644" s="5">
        <f>=HYPERLINK("https://luminus.nus.edu.sg/modules/b173a63c-8e10-4f15-90d6-60dc377c0353","LumiNUS course site")</f>
      </c>
      <c r="F644" s="0" t="s">
        <v>724</v>
      </c>
      <c r="G644" s="0" t="s">
        <v>762</v>
      </c>
      <c r="H644" s="3">
        <v>245</v>
      </c>
    </row>
    <row r="645">
      <c r="A645" s="0" t="s">
        <v>1269</v>
      </c>
      <c r="B645" s="0" t="s">
        <v>1268</v>
      </c>
      <c r="C645" s="5">
        <f>=HYPERLINK("https://nusmods.com/modules/CS1010E#timetable","Timetable")</f>
      </c>
      <c r="D645" s="5"/>
      <c r="E645" s="5">
        <f>=HYPERLINK("https://luminus.nus.edu.sg/modules/b173a63c-8e10-4f15-90d6-60dc377c0353","LumiNUS course site")</f>
      </c>
      <c r="F645" s="0" t="s">
        <v>724</v>
      </c>
      <c r="G645" s="0" t="s">
        <v>762</v>
      </c>
      <c r="H645" s="3">
        <v>781</v>
      </c>
    </row>
    <row r="646">
      <c r="A646" s="0" t="s">
        <v>1270</v>
      </c>
      <c r="B646" s="0" t="s">
        <v>1268</v>
      </c>
      <c r="C646" s="5">
        <f>=HYPERLINK("https://nusmods.com/modules/CS1010J#timetable","Timetable")</f>
      </c>
      <c r="D646" s="5">
        <f>=HYPERLINK("https://canvas.nus.edu.sg/courses/24608","Canvas course site")</f>
      </c>
      <c r="E646" s="5"/>
      <c r="F646" s="0" t="s">
        <v>724</v>
      </c>
      <c r="G646" s="0" t="s">
        <v>762</v>
      </c>
      <c r="H646" s="3">
        <v>109</v>
      </c>
    </row>
    <row r="647">
      <c r="A647" s="0" t="s">
        <v>1271</v>
      </c>
      <c r="B647" s="0" t="s">
        <v>1268</v>
      </c>
      <c r="C647" s="5">
        <f>=HYPERLINK("https://nusmods.com/modules/CS1010R#timetable","Timetable")</f>
      </c>
      <c r="D647" s="5"/>
      <c r="E647" s="5"/>
      <c r="F647" s="0" t="s">
        <v>724</v>
      </c>
      <c r="G647" s="0" t="s">
        <v>762</v>
      </c>
      <c r="H647" s="3">
        <v>10</v>
      </c>
    </row>
    <row r="648">
      <c r="A648" s="0" t="s">
        <v>1272</v>
      </c>
      <c r="B648" s="0" t="s">
        <v>1268</v>
      </c>
      <c r="C648" s="5">
        <f>=HYPERLINK("https://nusmods.com/modules/CS1010S#timetable","Timetable")</f>
      </c>
      <c r="D648" s="5"/>
      <c r="E648" s="5">
        <f>=HYPERLINK("https://luminus.nus.edu.sg/modules/148f6de3-84e6-43d6-a573-64c407b0fe84","LumiNUS course site")</f>
      </c>
      <c r="F648" s="0" t="s">
        <v>724</v>
      </c>
      <c r="G648" s="0" t="s">
        <v>762</v>
      </c>
      <c r="H648" s="3">
        <v>650</v>
      </c>
    </row>
    <row r="649">
      <c r="A649" s="0" t="s">
        <v>1273</v>
      </c>
      <c r="B649" s="0" t="s">
        <v>1268</v>
      </c>
      <c r="C649" s="5">
        <f>=HYPERLINK("https://nusmods.com/modules/CS1101S#timetable","Timetable")</f>
      </c>
      <c r="D649" s="5"/>
      <c r="E649" s="5">
        <f>=HYPERLINK("https://luminus.nus.edu.sg/modules/9f641e15-9e65-4bd4-a5e8-2ca7cf6e4864","LumiNUS course site")</f>
      </c>
      <c r="F649" s="0" t="s">
        <v>724</v>
      </c>
      <c r="G649" s="0" t="s">
        <v>762</v>
      </c>
      <c r="H649" s="3">
        <v>744</v>
      </c>
    </row>
    <row r="650">
      <c r="A650" s="0" t="s">
        <v>1274</v>
      </c>
      <c r="B650" s="0" t="s">
        <v>1275</v>
      </c>
      <c r="C650" s="5">
        <f>=HYPERLINK("https://nusmods.com/modules/CS1231#timetable","Timetable")</f>
      </c>
      <c r="D650" s="5">
        <f>=HYPERLINK("https://canvas.nus.edu.sg/courses/24632","Canvas course site")</f>
      </c>
      <c r="E650" s="5">
        <f>=HYPERLINK("https://luminus.nus.edu.sg/modules/f126bfc8-1dd9-4d0b-9180-dadec7387f52","LumiNUS course site")</f>
      </c>
      <c r="F650" s="0" t="s">
        <v>724</v>
      </c>
      <c r="G650" s="0" t="s">
        <v>762</v>
      </c>
      <c r="H650" s="3">
        <v>204</v>
      </c>
    </row>
    <row r="651">
      <c r="A651" s="0" t="s">
        <v>1276</v>
      </c>
      <c r="B651" s="0" t="s">
        <v>1275</v>
      </c>
      <c r="C651" s="5">
        <f>=HYPERLINK("https://nusmods.com/modules/CS1231S#timetable","Timetable")</f>
      </c>
      <c r="D651" s="5">
        <f>=HYPERLINK("https://canvas.nus.edu.sg/courses/24632","Canvas course site")</f>
      </c>
      <c r="E651" s="5">
        <f>=HYPERLINK("https://luminus.nus.edu.sg/modules/f185430d-6911-4717-a6cc-5d70196068e2","LumiNUS course site")</f>
      </c>
      <c r="F651" s="0" t="s">
        <v>724</v>
      </c>
      <c r="G651" s="0" t="s">
        <v>762</v>
      </c>
      <c r="H651" s="3">
        <v>839</v>
      </c>
    </row>
    <row r="652">
      <c r="A652" s="0" t="s">
        <v>1277</v>
      </c>
      <c r="B652" s="0" t="s">
        <v>1278</v>
      </c>
      <c r="C652" s="5">
        <f>=HYPERLINK("https://nusmods.com/modules/CS2030#timetable","Timetable")</f>
      </c>
      <c r="D652" s="5">
        <f>=HYPERLINK("https://canvas.nus.edu.sg/courses/24637","Canvas course site")</f>
      </c>
      <c r="E652" s="5">
        <f>=HYPERLINK("https://luminus.nus.edu.sg/modules/ea5a5cfb-7d7a-4d3c-9c01-c4dc4dc3efc8","LumiNUS course site")</f>
      </c>
      <c r="F652" s="0" t="s">
        <v>724</v>
      </c>
      <c r="G652" s="0" t="s">
        <v>762</v>
      </c>
      <c r="H652" s="3">
        <v>195</v>
      </c>
    </row>
    <row r="653">
      <c r="A653" s="0" t="s">
        <v>1279</v>
      </c>
      <c r="B653" s="0" t="s">
        <v>1278</v>
      </c>
      <c r="C653" s="5">
        <f>=HYPERLINK("https://nusmods.com/modules/CS2030S#timetable","Timetable")</f>
      </c>
      <c r="D653" s="5">
        <f>=HYPERLINK("https://canvas.nus.edu.sg/courses/24642","Canvas course site")</f>
      </c>
      <c r="E653" s="5">
        <f>=HYPERLINK("https://luminus.nus.edu.sg/modules/9582b81c-5f1d-402c-8a2f-15dc595ee709","LumiNUS course site")</f>
      </c>
      <c r="F653" s="0" t="s">
        <v>724</v>
      </c>
      <c r="G653" s="0" t="s">
        <v>762</v>
      </c>
      <c r="H653" s="3">
        <v>178</v>
      </c>
    </row>
    <row r="654">
      <c r="A654" s="0" t="s">
        <v>1280</v>
      </c>
      <c r="B654" s="0" t="s">
        <v>1281</v>
      </c>
      <c r="C654" s="5">
        <f>=HYPERLINK("https://nusmods.com/modules/CS2040#timetable","Timetable")</f>
      </c>
      <c r="D654" s="5">
        <f>=HYPERLINK("https://canvas.nus.edu.sg/courses/24647","Canvas course site")</f>
      </c>
      <c r="E654" s="5">
        <f>=HYPERLINK("https://luminus.nus.edu.sg/modules/b13fe0a4-63d1-40d7-bb29-5498597af811","LumiNUS course site")</f>
      </c>
      <c r="F654" s="0" t="s">
        <v>724</v>
      </c>
      <c r="G654" s="0" t="s">
        <v>762</v>
      </c>
      <c r="H654" s="3">
        <v>493</v>
      </c>
    </row>
    <row r="655">
      <c r="A655" s="0" t="s">
        <v>1282</v>
      </c>
      <c r="B655" s="0" t="s">
        <v>1281</v>
      </c>
      <c r="C655" s="5">
        <f>=HYPERLINK("https://nusmods.com/modules/CS2040C#timetable","Timetable")</f>
      </c>
      <c r="D655" s="5">
        <f>=HYPERLINK("https://canvas.nus.edu.sg/courses/22423","Canvas course site")</f>
      </c>
      <c r="E655" s="5"/>
      <c r="F655" s="0" t="s">
        <v>724</v>
      </c>
      <c r="G655" s="0" t="s">
        <v>762</v>
      </c>
      <c r="H655" s="3">
        <v>208</v>
      </c>
    </row>
    <row r="656">
      <c r="A656" s="0" t="s">
        <v>1283</v>
      </c>
      <c r="B656" s="0" t="s">
        <v>1281</v>
      </c>
      <c r="C656" s="5">
        <f>=HYPERLINK("https://nusmods.com/modules/CS2040S#timetable","Timetable")</f>
      </c>
      <c r="D656" s="5">
        <f>=HYPERLINK("https://canvas.nus.edu.sg/courses/24647","Canvas course site")</f>
      </c>
      <c r="E656" s="5">
        <f>=HYPERLINK("https://luminus.nus.edu.sg/modules/3e0b7dc5-61c1-4838-8f6a-612c7e129e9b","LumiNUS course site")</f>
      </c>
      <c r="F656" s="0" t="s">
        <v>724</v>
      </c>
      <c r="G656" s="0" t="s">
        <v>762</v>
      </c>
      <c r="H656" s="3">
        <v>146</v>
      </c>
    </row>
    <row r="657">
      <c r="A657" s="0" t="s">
        <v>1284</v>
      </c>
      <c r="B657" s="0" t="s">
        <v>1285</v>
      </c>
      <c r="C657" s="5">
        <f>=HYPERLINK("https://nusmods.com/modules/CS2100#timetable","Timetable")</f>
      </c>
      <c r="D657" s="5">
        <f>=HYPERLINK("https://canvas.nus.edu.sg/courses/24651","Canvas course site")</f>
      </c>
      <c r="E657" s="5">
        <f>=HYPERLINK("https://luminus.nus.edu.sg/modules/584460ab-2663-44c7-8f3c-4f1338e75dc7","LumiNUS course site")</f>
      </c>
      <c r="F657" s="0" t="s">
        <v>724</v>
      </c>
      <c r="G657" s="0" t="s">
        <v>762</v>
      </c>
      <c r="H657" s="3">
        <v>662</v>
      </c>
    </row>
    <row r="658">
      <c r="A658" s="0" t="s">
        <v>1286</v>
      </c>
      <c r="B658" s="0" t="s">
        <v>1287</v>
      </c>
      <c r="C658" s="5">
        <f>=HYPERLINK("https://nusmods.com/modules/CS2101#timetable","Timetable")</f>
      </c>
      <c r="D658" s="5"/>
      <c r="E658" s="5">
        <f>=HYPERLINK("https://luminus.nus.edu.sg/modules/ba4f0e10-a94c-415d-8b3a-b0428edb000f","LumiNUS course site")</f>
      </c>
      <c r="F658" s="0" t="s">
        <v>926</v>
      </c>
      <c r="G658" s="0" t="s">
        <v>1288</v>
      </c>
      <c r="H658" s="3">
        <v>409</v>
      </c>
    </row>
    <row r="659">
      <c r="A659" s="0" t="s">
        <v>1289</v>
      </c>
      <c r="B659" s="0" t="s">
        <v>1290</v>
      </c>
      <c r="C659" s="5">
        <f>=HYPERLINK("https://nusmods.com/modules/CS2102#timetable","Timetable")</f>
      </c>
      <c r="D659" s="5">
        <f>=HYPERLINK("https://canvas.nus.edu.sg/courses/24662","Canvas course site")</f>
      </c>
      <c r="E659" s="5"/>
      <c r="F659" s="0" t="s">
        <v>724</v>
      </c>
      <c r="G659" s="0" t="s">
        <v>762</v>
      </c>
      <c r="H659" s="3">
        <v>485</v>
      </c>
    </row>
    <row r="660">
      <c r="A660" s="0" t="s">
        <v>1291</v>
      </c>
      <c r="B660" s="0" t="s">
        <v>1292</v>
      </c>
      <c r="C660" s="5">
        <f>=HYPERLINK("https://nusmods.com/modules/CS2103#timetable","Timetable")</f>
      </c>
      <c r="D660" s="5"/>
      <c r="E660" s="5">
        <f>=HYPERLINK("https://luminus.nus.edu.sg/modules/d5a1546f-b342-4765-a8a4-e740cd253b61","LumiNUS course site")</f>
      </c>
      <c r="F660" s="0" t="s">
        <v>724</v>
      </c>
      <c r="G660" s="0" t="s">
        <v>762</v>
      </c>
      <c r="H660" s="3">
        <v>62</v>
      </c>
    </row>
    <row r="661">
      <c r="A661" s="0" t="s">
        <v>1293</v>
      </c>
      <c r="B661" s="0" t="s">
        <v>1292</v>
      </c>
      <c r="C661" s="5">
        <f>=HYPERLINK("https://nusmods.com/modules/CS2103R#timetable","Timetable")</f>
      </c>
      <c r="D661" s="5"/>
      <c r="E661" s="5"/>
      <c r="F661" s="0" t="s">
        <v>724</v>
      </c>
      <c r="G661" s="0" t="s">
        <v>762</v>
      </c>
      <c r="H661" s="3">
        <v>1</v>
      </c>
    </row>
    <row r="662">
      <c r="A662" s="0" t="s">
        <v>1294</v>
      </c>
      <c r="B662" s="0" t="s">
        <v>1292</v>
      </c>
      <c r="C662" s="5">
        <f>=HYPERLINK("https://nusmods.com/modules/CS2103T#timetable","Timetable")</f>
      </c>
      <c r="D662" s="5"/>
      <c r="E662" s="5">
        <f>=HYPERLINK("https://luminus.nus.edu.sg/modules/d5a1546f-b342-4765-a8a4-e740cd253b61","LumiNUS course site")</f>
      </c>
      <c r="F662" s="0" t="s">
        <v>724</v>
      </c>
      <c r="G662" s="0" t="s">
        <v>762</v>
      </c>
      <c r="H662" s="3">
        <v>400</v>
      </c>
    </row>
    <row r="663">
      <c r="A663" s="0" t="s">
        <v>1295</v>
      </c>
      <c r="B663" s="0" t="s">
        <v>1296</v>
      </c>
      <c r="C663" s="5">
        <f>=HYPERLINK("https://nusmods.com/modules/CS2104#timetable","Timetable")</f>
      </c>
      <c r="D663" s="5">
        <f>=HYPERLINK("https://canvas.nus.edu.sg/courses/24676","Canvas course site")</f>
      </c>
      <c r="E663" s="5"/>
      <c r="F663" s="0" t="s">
        <v>724</v>
      </c>
      <c r="G663" s="0" t="s">
        <v>762</v>
      </c>
      <c r="H663" s="3">
        <v>43</v>
      </c>
    </row>
    <row r="664">
      <c r="A664" s="0" t="s">
        <v>1297</v>
      </c>
      <c r="B664" s="0" t="s">
        <v>1298</v>
      </c>
      <c r="C664" s="5">
        <f>=HYPERLINK("https://nusmods.com/modules/CS2105#timetable","Timetable")</f>
      </c>
      <c r="D664" s="5"/>
      <c r="E664" s="5">
        <f>=HYPERLINK("https://luminus.nus.edu.sg/modules/eb508e2a-07ad-4024-aa80-f7b40c4f78d8","LumiNUS course site")</f>
      </c>
      <c r="F664" s="0" t="s">
        <v>724</v>
      </c>
      <c r="G664" s="0" t="s">
        <v>762</v>
      </c>
      <c r="H664" s="3">
        <v>379</v>
      </c>
    </row>
    <row r="665">
      <c r="A665" s="0" t="s">
        <v>1299</v>
      </c>
      <c r="B665" s="0" t="s">
        <v>1300</v>
      </c>
      <c r="C665" s="5">
        <f>=HYPERLINK("https://nusmods.com/modules/CS2106#timetable","Timetable")</f>
      </c>
      <c r="D665" s="5"/>
      <c r="E665" s="5">
        <f>=HYPERLINK("https://luminus.nus.edu.sg/modules/1ea149b6-8d75-40d7-a821-89fa46c2934b","LumiNUS course site")</f>
      </c>
      <c r="F665" s="0" t="s">
        <v>724</v>
      </c>
      <c r="G665" s="0" t="s">
        <v>762</v>
      </c>
      <c r="H665" s="3">
        <v>308</v>
      </c>
    </row>
    <row r="666">
      <c r="A666" s="0" t="s">
        <v>1301</v>
      </c>
      <c r="B666" s="0" t="s">
        <v>1302</v>
      </c>
      <c r="C666" s="5">
        <f>=HYPERLINK("https://nusmods.com/modules/CS2107#timetable","Timetable")</f>
      </c>
      <c r="D666" s="5"/>
      <c r="E666" s="5">
        <f>=HYPERLINK("https://luminus.nus.edu.sg/modules/4988307d-2ed6-4fa6-a634-c269edfc9f73","LumiNUS course site")</f>
      </c>
      <c r="F666" s="0" t="s">
        <v>724</v>
      </c>
      <c r="G666" s="0" t="s">
        <v>762</v>
      </c>
      <c r="H666" s="3">
        <v>208</v>
      </c>
    </row>
    <row r="667">
      <c r="A667" s="0" t="s">
        <v>1303</v>
      </c>
      <c r="B667" s="0" t="s">
        <v>1304</v>
      </c>
      <c r="C667" s="5">
        <f>=HYPERLINK("https://nusmods.com/modules/CS2109S#timetable","Timetable")</f>
      </c>
      <c r="D667" s="5"/>
      <c r="E667" s="5">
        <f>=HYPERLINK("https://luminus.nus.edu.sg/modules/b272b3af-2da9-4744-9673-d9fa8ddcef20","LumiNUS course site")</f>
      </c>
      <c r="F667" s="0" t="s">
        <v>724</v>
      </c>
      <c r="G667" s="0" t="s">
        <v>762</v>
      </c>
      <c r="H667" s="3">
        <v>202</v>
      </c>
    </row>
    <row r="668">
      <c r="A668" s="0" t="s">
        <v>1305</v>
      </c>
      <c r="B668" s="0" t="s">
        <v>1306</v>
      </c>
      <c r="C668" s="5">
        <f>=HYPERLINK("https://nusmods.com/modules/CS2113#timetable","Timetable")</f>
      </c>
      <c r="D668" s="5"/>
      <c r="E668" s="5">
        <f>=HYPERLINK("https://luminus.nus.edu.sg/modules/2e5b00f7-280a-4a0e-9c01-c491f5e3c2d5","LumiNUS course site")</f>
      </c>
      <c r="F668" s="0" t="s">
        <v>724</v>
      </c>
      <c r="G668" s="0" t="s">
        <v>762</v>
      </c>
      <c r="H668" s="3">
        <v>66</v>
      </c>
    </row>
    <row r="669">
      <c r="A669" s="0" t="s">
        <v>1307</v>
      </c>
      <c r="B669" s="0" t="s">
        <v>1306</v>
      </c>
      <c r="C669" s="5">
        <f>=HYPERLINK("https://nusmods.com/modules/CS2113T#timetable","Timetable")</f>
      </c>
      <c r="D669" s="5"/>
      <c r="E669" s="5">
        <f>=HYPERLINK("https://luminus.nus.edu.sg/modules/2e5b00f7-280a-4a0e-9c01-c491f5e3c2d5","LumiNUS course site")</f>
      </c>
      <c r="F669" s="0" t="s">
        <v>724</v>
      </c>
      <c r="G669" s="0" t="s">
        <v>762</v>
      </c>
      <c r="H669" s="3">
        <v>9</v>
      </c>
    </row>
    <row r="670">
      <c r="A670" s="0" t="s">
        <v>1308</v>
      </c>
      <c r="B670" s="0" t="s">
        <v>1309</v>
      </c>
      <c r="C670" s="5">
        <f>=HYPERLINK("https://nusmods.com/modules/CS2220#timetable","Timetable")</f>
      </c>
      <c r="D670" s="5">
        <f>=HYPERLINK("https://canvas.nus.edu.sg/courses/24709","Canvas course site")</f>
      </c>
      <c r="E670" s="5">
        <f>=HYPERLINK("https://luminus.nus.edu.sg/modules/5e178f94-9dd3-4a38-8355-726893dc5dc5","LumiNUS course site")</f>
      </c>
      <c r="F670" s="0" t="s">
        <v>724</v>
      </c>
      <c r="G670" s="0" t="s">
        <v>762</v>
      </c>
      <c r="H670" s="3">
        <v>28</v>
      </c>
    </row>
    <row r="671">
      <c r="A671" s="0" t="s">
        <v>1310</v>
      </c>
      <c r="B671" s="0" t="s">
        <v>1311</v>
      </c>
      <c r="C671" s="5">
        <f>=HYPERLINK("https://nusmods.com/modules/CS2309#timetable","Timetable")</f>
      </c>
      <c r="D671" s="5"/>
      <c r="E671" s="5">
        <f>=HYPERLINK("https://luminus.nus.edu.sg/modules/571b26fb-c436-4e90-9387-c758196e7e46","LumiNUS course site")</f>
      </c>
      <c r="F671" s="0" t="s">
        <v>724</v>
      </c>
      <c r="G671" s="0" t="s">
        <v>762</v>
      </c>
      <c r="H671" s="3">
        <v>21</v>
      </c>
    </row>
    <row r="672">
      <c r="A672" s="0" t="s">
        <v>1312</v>
      </c>
      <c r="B672" s="0" t="s">
        <v>1313</v>
      </c>
      <c r="C672" s="5">
        <f>=HYPERLINK("https://nusmods.com/modules/CS3103#timetable","Timetable")</f>
      </c>
      <c r="D672" s="5"/>
      <c r="E672" s="5">
        <f>=HYPERLINK("https://luminus.nus.edu.sg/modules/1ce4d9ae-7222-40d1-9761-558457bd9fbd","LumiNUS course site")</f>
      </c>
      <c r="F672" s="0" t="s">
        <v>724</v>
      </c>
      <c r="G672" s="0" t="s">
        <v>762</v>
      </c>
      <c r="H672" s="3">
        <v>171</v>
      </c>
    </row>
    <row r="673">
      <c r="A673" s="0" t="s">
        <v>1314</v>
      </c>
      <c r="B673" s="0" t="s">
        <v>1315</v>
      </c>
      <c r="C673" s="5">
        <f>=HYPERLINK("https://nusmods.com/modules/CS3203#timetable","Timetable")</f>
      </c>
      <c r="D673" s="5">
        <f>=HYPERLINK("https://canvas.nus.edu.sg/courses/24725","Canvas course site")</f>
      </c>
      <c r="E673" s="5"/>
      <c r="F673" s="0" t="s">
        <v>724</v>
      </c>
      <c r="G673" s="0" t="s">
        <v>762</v>
      </c>
      <c r="H673" s="3">
        <v>242</v>
      </c>
    </row>
    <row r="674">
      <c r="A674" s="0" t="s">
        <v>1316</v>
      </c>
      <c r="B674" s="0" t="s">
        <v>1317</v>
      </c>
      <c r="C674" s="5">
        <f>=HYPERLINK("https://nusmods.com/modules/CS3210#timetable","Timetable")</f>
      </c>
      <c r="D674" s="5">
        <f>=HYPERLINK("https://canvas.nus.edu.sg/courses/24731","Canvas course site")</f>
      </c>
      <c r="E674" s="5">
        <f>=HYPERLINK("https://luminus.nus.edu.sg/modules/f81ef96d-8cb8-47e8-82da-c71585e201c5","LumiNUS course site")</f>
      </c>
      <c r="F674" s="0" t="s">
        <v>724</v>
      </c>
      <c r="G674" s="0" t="s">
        <v>762</v>
      </c>
      <c r="H674" s="3">
        <v>128</v>
      </c>
    </row>
    <row r="675">
      <c r="A675" s="0" t="s">
        <v>1318</v>
      </c>
      <c r="B675" s="0" t="s">
        <v>1319</v>
      </c>
      <c r="C675" s="5">
        <f>=HYPERLINK("https://nusmods.com/modules/CS3216#timetable","Timetable")</f>
      </c>
      <c r="D675" s="5"/>
      <c r="E675" s="5"/>
      <c r="F675" s="0" t="s">
        <v>724</v>
      </c>
      <c r="G675" s="0" t="s">
        <v>762</v>
      </c>
      <c r="H675" s="3">
        <v>43</v>
      </c>
    </row>
    <row r="676">
      <c r="A676" s="0" t="s">
        <v>1320</v>
      </c>
      <c r="B676" s="0" t="s">
        <v>1321</v>
      </c>
      <c r="C676" s="5">
        <f>=HYPERLINK("https://nusmods.com/modules/CS3219#timetable","Timetable")</f>
      </c>
      <c r="D676" s="5">
        <f>=HYPERLINK("https://canvas.nus.edu.sg/courses/24741","Canvas course site")</f>
      </c>
      <c r="E676" s="5"/>
      <c r="F676" s="0" t="s">
        <v>724</v>
      </c>
      <c r="G676" s="0" t="s">
        <v>762</v>
      </c>
      <c r="H676" s="3">
        <v>240</v>
      </c>
    </row>
    <row r="677">
      <c r="A677" s="0" t="s">
        <v>1322</v>
      </c>
      <c r="B677" s="0" t="s">
        <v>1323</v>
      </c>
      <c r="C677" s="5">
        <f>=HYPERLINK("https://nusmods.com/modules/CS3230#timetable","Timetable")</f>
      </c>
      <c r="D677" s="5">
        <f>=HYPERLINK("https://canvas.nus.edu.sg/courses/22424","Canvas course site")</f>
      </c>
      <c r="E677" s="5">
        <f>=HYPERLINK("https://luminus.nus.edu.sg/modules/f16b92a1-24aa-4ffb-9e86-fc7e257c6464","LumiNUS course site")</f>
      </c>
      <c r="F677" s="0" t="s">
        <v>724</v>
      </c>
      <c r="G677" s="0" t="s">
        <v>762</v>
      </c>
      <c r="H677" s="3">
        <v>420</v>
      </c>
    </row>
    <row r="678">
      <c r="A678" s="0" t="s">
        <v>1324</v>
      </c>
      <c r="B678" s="0" t="s">
        <v>1323</v>
      </c>
      <c r="C678" s="5">
        <f>=HYPERLINK("https://nusmods.com/modules/CS3230R#timetable","Timetable")</f>
      </c>
      <c r="D678" s="5"/>
      <c r="E678" s="5"/>
      <c r="F678" s="0" t="s">
        <v>724</v>
      </c>
      <c r="G678" s="0" t="s">
        <v>762</v>
      </c>
      <c r="H678" s="3">
        <v>0</v>
      </c>
    </row>
    <row r="679">
      <c r="A679" s="0" t="s">
        <v>1325</v>
      </c>
      <c r="B679" s="0" t="s">
        <v>1326</v>
      </c>
      <c r="C679" s="5">
        <f>=HYPERLINK("https://nusmods.com/modules/CS3231#timetable","Timetable")</f>
      </c>
      <c r="D679" s="5">
        <f>=HYPERLINK("https://canvas.nus.edu.sg/courses/24752","Canvas course site")</f>
      </c>
      <c r="E679" s="5">
        <f>=HYPERLINK("https://luminus.nus.edu.sg/modules/86196565-6fce-495c-8d02-269c26e47e92","LumiNUS course site")</f>
      </c>
      <c r="F679" s="0" t="s">
        <v>724</v>
      </c>
      <c r="G679" s="0" t="s">
        <v>762</v>
      </c>
      <c r="H679" s="3">
        <v>32</v>
      </c>
    </row>
    <row r="680">
      <c r="A680" s="0" t="s">
        <v>1327</v>
      </c>
      <c r="B680" s="0" t="s">
        <v>1328</v>
      </c>
      <c r="C680" s="5">
        <f>=HYPERLINK("https://nusmods.com/modules/CS3235#timetable","Timetable")</f>
      </c>
      <c r="D680" s="5"/>
      <c r="E680" s="5">
        <f>=HYPERLINK("https://luminus.nus.edu.sg/modules/2277947a-ecb8-4126-aad3-f4d141ab2c14","LumiNUS course site")</f>
      </c>
      <c r="F680" s="0" t="s">
        <v>724</v>
      </c>
      <c r="G680" s="0" t="s">
        <v>762</v>
      </c>
      <c r="H680" s="3">
        <v>104</v>
      </c>
    </row>
    <row r="681">
      <c r="A681" s="0" t="s">
        <v>1329</v>
      </c>
      <c r="B681" s="0" t="s">
        <v>1330</v>
      </c>
      <c r="C681" s="5">
        <f>=HYPERLINK("https://nusmods.com/modules/CS3236R#timetable","Timetable")</f>
      </c>
      <c r="D681" s="5"/>
      <c r="E681" s="5"/>
      <c r="F681" s="0" t="s">
        <v>724</v>
      </c>
      <c r="G681" s="0" t="s">
        <v>762</v>
      </c>
      <c r="H681" s="3">
        <v>0</v>
      </c>
    </row>
    <row r="682">
      <c r="A682" s="0" t="s">
        <v>1331</v>
      </c>
      <c r="B682" s="0" t="s">
        <v>1332</v>
      </c>
      <c r="C682" s="5">
        <f>=HYPERLINK("https://nusmods.com/modules/CS3237#timetable","Timetable")</f>
      </c>
      <c r="D682" s="5">
        <f>=HYPERLINK("https://canvas.nus.edu.sg/courses/24768","Canvas course site")</f>
      </c>
      <c r="E682" s="5"/>
      <c r="F682" s="0" t="s">
        <v>724</v>
      </c>
      <c r="G682" s="0" t="s">
        <v>762</v>
      </c>
      <c r="H682" s="3">
        <v>115</v>
      </c>
    </row>
    <row r="683">
      <c r="A683" s="0" t="s">
        <v>1333</v>
      </c>
      <c r="B683" s="0" t="s">
        <v>1334</v>
      </c>
      <c r="C683" s="5">
        <f>=HYPERLINK("https://nusmods.com/modules/CS3240#timetable","Timetable")</f>
      </c>
      <c r="D683" s="5"/>
      <c r="E683" s="5">
        <f>=HYPERLINK("https://luminus.nus.edu.sg/modules/97f9e6a7-b9ca-4c9d-a09f-6c730da52d24","LumiNUS course site")</f>
      </c>
      <c r="F683" s="0" t="s">
        <v>724</v>
      </c>
      <c r="G683" s="0" t="s">
        <v>762</v>
      </c>
      <c r="H683" s="3">
        <v>88</v>
      </c>
    </row>
    <row r="684">
      <c r="A684" s="0" t="s">
        <v>1335</v>
      </c>
      <c r="B684" s="0" t="s">
        <v>1336</v>
      </c>
      <c r="C684" s="5">
        <f>=HYPERLINK("https://nusmods.com/modules/CS3241#timetable","Timetable")</f>
      </c>
      <c r="D684" s="5"/>
      <c r="E684" s="5">
        <f>=HYPERLINK("https://luminus.nus.edu.sg/modules/2cc8c159-1ab6-4edf-82cf-4aea144fb00b","LumiNUS course site")</f>
      </c>
      <c r="F684" s="0" t="s">
        <v>724</v>
      </c>
      <c r="G684" s="0" t="s">
        <v>762</v>
      </c>
      <c r="H684" s="3">
        <v>192</v>
      </c>
    </row>
    <row r="685">
      <c r="A685" s="0" t="s">
        <v>1337</v>
      </c>
      <c r="B685" s="0" t="s">
        <v>1336</v>
      </c>
      <c r="C685" s="5">
        <f>=HYPERLINK("https://nusmods.com/modules/CS3241R#timetable","Timetable")</f>
      </c>
      <c r="D685" s="5"/>
      <c r="E685" s="5"/>
      <c r="F685" s="0" t="s">
        <v>724</v>
      </c>
      <c r="G685" s="0" t="s">
        <v>762</v>
      </c>
      <c r="H685" s="3">
        <v>0</v>
      </c>
    </row>
    <row r="686">
      <c r="A686" s="0" t="s">
        <v>1338</v>
      </c>
      <c r="B686" s="0" t="s">
        <v>1339</v>
      </c>
      <c r="C686" s="5">
        <f>=HYPERLINK("https://nusmods.com/modules/CS3243#timetable","Timetable")</f>
      </c>
      <c r="D686" s="5"/>
      <c r="E686" s="5">
        <f>=HYPERLINK("https://luminus.nus.edu.sg/modules/774d7dad-b8b9-426c-b39a-bdcf06a436b5","LumiNUS course site")</f>
      </c>
      <c r="F686" s="0" t="s">
        <v>724</v>
      </c>
      <c r="G686" s="0" t="s">
        <v>762</v>
      </c>
      <c r="H686" s="3">
        <v>159</v>
      </c>
    </row>
    <row r="687">
      <c r="A687" s="0" t="s">
        <v>1340</v>
      </c>
      <c r="B687" s="0" t="s">
        <v>1341</v>
      </c>
      <c r="C687" s="5">
        <f>=HYPERLINK("https://nusmods.com/modules/CS3244#timetable","Timetable")</f>
      </c>
      <c r="D687" s="5"/>
      <c r="E687" s="5">
        <f>=HYPERLINK("https://luminus.nus.edu.sg/modules/738d7658-e985-4df4-877b-3bb80ee91382","LumiNUS course site")</f>
      </c>
      <c r="F687" s="0" t="s">
        <v>724</v>
      </c>
      <c r="G687" s="0" t="s">
        <v>762</v>
      </c>
      <c r="H687" s="3">
        <v>237</v>
      </c>
    </row>
    <row r="688">
      <c r="A688" s="0" t="s">
        <v>1342</v>
      </c>
      <c r="B688" s="0" t="s">
        <v>1343</v>
      </c>
      <c r="C688" s="5">
        <f>=HYPERLINK("https://nusmods.com/modules/CS3245R#timetable","Timetable")</f>
      </c>
      <c r="D688" s="5"/>
      <c r="E688" s="5"/>
      <c r="F688" s="0" t="s">
        <v>724</v>
      </c>
      <c r="G688" s="0" t="s">
        <v>762</v>
      </c>
      <c r="H688" s="3">
        <v>0</v>
      </c>
    </row>
    <row r="689">
      <c r="A689" s="0" t="s">
        <v>1344</v>
      </c>
      <c r="B689" s="0" t="s">
        <v>1345</v>
      </c>
      <c r="C689" s="5">
        <f>=HYPERLINK("https://nusmods.com/modules/CS4211#timetable","Timetable")</f>
      </c>
      <c r="D689" s="5"/>
      <c r="E689" s="5">
        <f>=HYPERLINK("https://luminus.nus.edu.sg/modules/28c43386-b675-49f1-a0ee-3a49476122ad","LumiNUS course site")</f>
      </c>
      <c r="F689" s="0" t="s">
        <v>724</v>
      </c>
      <c r="G689" s="0" t="s">
        <v>762</v>
      </c>
      <c r="H689" s="3">
        <v>117</v>
      </c>
    </row>
    <row r="690">
      <c r="A690" s="0" t="s">
        <v>1346</v>
      </c>
      <c r="B690" s="0" t="s">
        <v>1347</v>
      </c>
      <c r="C690" s="5">
        <f>=HYPERLINK("https://nusmods.com/modules/CS4212#timetable","Timetable")</f>
      </c>
      <c r="D690" s="5">
        <f>=HYPERLINK("https://canvas.nus.edu.sg/courses/24809","Canvas course site")</f>
      </c>
      <c r="E690" s="5"/>
      <c r="F690" s="0" t="s">
        <v>724</v>
      </c>
      <c r="G690" s="0" t="s">
        <v>762</v>
      </c>
      <c r="H690" s="3">
        <v>42</v>
      </c>
    </row>
    <row r="691">
      <c r="A691" s="0" t="s">
        <v>1348</v>
      </c>
      <c r="B691" s="0" t="s">
        <v>1349</v>
      </c>
      <c r="C691" s="5">
        <f>=HYPERLINK("https://nusmods.com/modules/CS4223#timetable","Timetable")</f>
      </c>
      <c r="D691" s="5">
        <f>=HYPERLINK("https://canvas.nus.edu.sg/courses/24814","Canvas course site")</f>
      </c>
      <c r="E691" s="5">
        <f>=HYPERLINK("https://luminus.nus.edu.sg/modules/e5fe8491-91c6-413c-b570-6796f07ef732","LumiNUS course site")</f>
      </c>
      <c r="F691" s="0" t="s">
        <v>724</v>
      </c>
      <c r="G691" s="0" t="s">
        <v>762</v>
      </c>
      <c r="H691" s="3">
        <v>40</v>
      </c>
    </row>
    <row r="692">
      <c r="A692" s="0" t="s">
        <v>1350</v>
      </c>
      <c r="B692" s="0" t="s">
        <v>1351</v>
      </c>
      <c r="C692" s="5">
        <f>=HYPERLINK("https://nusmods.com/modules/CS4224#timetable","Timetable")</f>
      </c>
      <c r="D692" s="5"/>
      <c r="E692" s="5">
        <f>=HYPERLINK("https://luminus.nus.edu.sg/modules/ef1a828e-d621-46de-9d33-6b36464e85b7","LumiNUS course site")</f>
      </c>
      <c r="F692" s="0" t="s">
        <v>724</v>
      </c>
      <c r="G692" s="0" t="s">
        <v>762</v>
      </c>
      <c r="H692" s="3">
        <v>35</v>
      </c>
    </row>
    <row r="693">
      <c r="A693" s="0" t="s">
        <v>1352</v>
      </c>
      <c r="B693" s="0" t="s">
        <v>1353</v>
      </c>
      <c r="C693" s="5">
        <f>=HYPERLINK("https://nusmods.com/modules/CS4225#timetable","Timetable")</f>
      </c>
      <c r="D693" s="5"/>
      <c r="E693" s="5">
        <f>=HYPERLINK("https://luminus.nus.edu.sg/modules/834a2a9d-c971-41b4-9f0e-c9fcb0cc4407","LumiNUS course site")</f>
      </c>
      <c r="F693" s="0" t="s">
        <v>724</v>
      </c>
      <c r="G693" s="0" t="s">
        <v>762</v>
      </c>
      <c r="H693" s="3">
        <v>296</v>
      </c>
    </row>
    <row r="694">
      <c r="A694" s="0" t="s">
        <v>1354</v>
      </c>
      <c r="B694" s="0" t="s">
        <v>1355</v>
      </c>
      <c r="C694" s="5">
        <f>=HYPERLINK("https://nusmods.com/modules/CS4226#timetable","Timetable")</f>
      </c>
      <c r="D694" s="5">
        <f>=HYPERLINK("https://canvas.nus.edu.sg/courses/24830","Canvas course site")</f>
      </c>
      <c r="E694" s="5">
        <f>=HYPERLINK("https://luminus.nus.edu.sg/modules/1e595c29-2d75-4a9c-a6db-5787b6cb0697","LumiNUS course site")</f>
      </c>
      <c r="F694" s="0" t="s">
        <v>724</v>
      </c>
      <c r="G694" s="0" t="s">
        <v>762</v>
      </c>
      <c r="H694" s="3">
        <v>190</v>
      </c>
    </row>
    <row r="695">
      <c r="A695" s="0" t="s">
        <v>1356</v>
      </c>
      <c r="B695" s="0" t="s">
        <v>1357</v>
      </c>
      <c r="C695" s="5">
        <f>=HYPERLINK("https://nusmods.com/modules/CS4234#timetable","Timetable")</f>
      </c>
      <c r="D695" s="5">
        <f>=HYPERLINK("https://canvas.nus.edu.sg/courses/24835","Canvas course site")</f>
      </c>
      <c r="E695" s="5"/>
      <c r="F695" s="0" t="s">
        <v>724</v>
      </c>
      <c r="G695" s="0" t="s">
        <v>762</v>
      </c>
      <c r="H695" s="3">
        <v>43</v>
      </c>
    </row>
    <row r="696">
      <c r="A696" s="0" t="s">
        <v>1358</v>
      </c>
      <c r="B696" s="0" t="s">
        <v>1359</v>
      </c>
      <c r="C696" s="5">
        <f>=HYPERLINK("https://nusmods.com/modules/CS4236#timetable","Timetable")</f>
      </c>
      <c r="D696" s="5">
        <f>=HYPERLINK("https://canvas.nus.edu.sg/courses/24841","Canvas course site")</f>
      </c>
      <c r="E696" s="5"/>
      <c r="F696" s="0" t="s">
        <v>724</v>
      </c>
      <c r="G696" s="0" t="s">
        <v>762</v>
      </c>
      <c r="H696" s="3">
        <v>77</v>
      </c>
    </row>
    <row r="697">
      <c r="A697" s="0" t="s">
        <v>1360</v>
      </c>
      <c r="B697" s="0" t="s">
        <v>1361</v>
      </c>
      <c r="C697" s="5">
        <f>=HYPERLINK("https://nusmods.com/modules/CS4239#timetable","Timetable")</f>
      </c>
      <c r="D697" s="5"/>
      <c r="E697" s="5">
        <f>=HYPERLINK("https://luminus.nus.edu.sg/modules/a3297805-1a16-4f1c-8a5f-4260ceb0f566","LumiNUS course site")</f>
      </c>
      <c r="F697" s="0" t="s">
        <v>724</v>
      </c>
      <c r="G697" s="0" t="s">
        <v>762</v>
      </c>
      <c r="H697" s="3">
        <v>84</v>
      </c>
    </row>
    <row r="698">
      <c r="A698" s="0" t="s">
        <v>1362</v>
      </c>
      <c r="B698" s="0" t="s">
        <v>1363</v>
      </c>
      <c r="C698" s="5">
        <f>=HYPERLINK("https://nusmods.com/modules/CS4243#timetable","Timetable")</f>
      </c>
      <c r="D698" s="5"/>
      <c r="E698" s="5">
        <f>=HYPERLINK("https://luminus.nus.edu.sg/modules/71ff4589-ce71-44ea-b5ef-622a76f18c98","LumiNUS course site")</f>
      </c>
      <c r="F698" s="0" t="s">
        <v>724</v>
      </c>
      <c r="G698" s="0" t="s">
        <v>762</v>
      </c>
      <c r="H698" s="3">
        <v>161</v>
      </c>
    </row>
    <row r="699">
      <c r="A699" s="0" t="s">
        <v>1364</v>
      </c>
      <c r="B699" s="0" t="s">
        <v>1365</v>
      </c>
      <c r="C699" s="5">
        <f>=HYPERLINK("https://nusmods.com/modules/CS4246#timetable","Timetable")</f>
      </c>
      <c r="D699" s="5"/>
      <c r="E699" s="5">
        <f>=HYPERLINK("https://luminus.nus.edu.sg/modules/bc397e07-d089-4c80-b939-a8fe53682b5e","LumiNUS course site")</f>
      </c>
      <c r="F699" s="0" t="s">
        <v>724</v>
      </c>
      <c r="G699" s="0" t="s">
        <v>762</v>
      </c>
      <c r="H699" s="3">
        <v>60</v>
      </c>
    </row>
    <row r="700">
      <c r="A700" s="0" t="s">
        <v>1366</v>
      </c>
      <c r="B700" s="0" t="s">
        <v>1367</v>
      </c>
      <c r="C700" s="5">
        <f>=HYPERLINK("https://nusmods.com/modules/CS4248#timetable","Timetable")</f>
      </c>
      <c r="D700" s="5"/>
      <c r="E700" s="5">
        <f>=HYPERLINK("https://luminus.nus.edu.sg/modules/869eb202-a222-4e0c-80dc-ff1486c688ed","LumiNUS course site")</f>
      </c>
      <c r="F700" s="0" t="s">
        <v>724</v>
      </c>
      <c r="G700" s="0" t="s">
        <v>762</v>
      </c>
      <c r="H700" s="3">
        <v>113</v>
      </c>
    </row>
    <row r="701">
      <c r="A701" s="0" t="s">
        <v>1368</v>
      </c>
      <c r="B701" s="0" t="s">
        <v>1369</v>
      </c>
      <c r="C701" s="5">
        <f>=HYPERLINK("https://nusmods.com/modules/CS4261#timetable","Timetable")</f>
      </c>
      <c r="D701" s="5"/>
      <c r="E701" s="5">
        <f>=HYPERLINK("https://luminus.nus.edu.sg/modules/0311d053-2283-4614-b52d-6d84b4f6b809","LumiNUS course site")</f>
      </c>
      <c r="F701" s="0" t="s">
        <v>724</v>
      </c>
      <c r="G701" s="0" t="s">
        <v>762</v>
      </c>
      <c r="H701" s="3">
        <v>78</v>
      </c>
    </row>
    <row r="702">
      <c r="A702" s="0" t="s">
        <v>1370</v>
      </c>
      <c r="B702" s="0" t="s">
        <v>1371</v>
      </c>
      <c r="C702" s="5">
        <f>=HYPERLINK("https://nusmods.com/modules/CS4347#timetable","Timetable")</f>
      </c>
      <c r="D702" s="5"/>
      <c r="E702" s="5">
        <f>=HYPERLINK("https://luminus.nus.edu.sg/modules/aa5d9599-6202-41ba-baca-6d18656744a1","LumiNUS course site")</f>
      </c>
      <c r="F702" s="0" t="s">
        <v>724</v>
      </c>
      <c r="G702" s="0" t="s">
        <v>762</v>
      </c>
      <c r="H702" s="3">
        <v>14</v>
      </c>
    </row>
    <row r="703">
      <c r="A703" s="0" t="s">
        <v>1372</v>
      </c>
      <c r="B703" s="0" t="s">
        <v>1373</v>
      </c>
      <c r="C703" s="5">
        <f>=HYPERLINK("https://nusmods.com/modules/CS4350#timetable","Timetable")</f>
      </c>
      <c r="D703" s="5">
        <f>=HYPERLINK("https://canvas.nus.edu.sg/courses/24887","Canvas course site")</f>
      </c>
      <c r="E703" s="5"/>
      <c r="F703" s="0" t="s">
        <v>724</v>
      </c>
      <c r="G703" s="0" t="s">
        <v>762</v>
      </c>
      <c r="H703" s="3">
        <v>40</v>
      </c>
    </row>
    <row r="704">
      <c r="A704" s="0" t="s">
        <v>1374</v>
      </c>
      <c r="B704" s="0" t="s">
        <v>1375</v>
      </c>
      <c r="C704" s="5">
        <f>=HYPERLINK("https://nusmods.com/modules/CS5219#timetable","Timetable")</f>
      </c>
      <c r="D704" s="5"/>
      <c r="E704" s="5">
        <f>=HYPERLINK("https://luminus.nus.edu.sg/modules/560a27ac-a3b8-4d6f-b98d-34f4eaecfec2","LumiNUS course site")</f>
      </c>
      <c r="F704" s="0" t="s">
        <v>724</v>
      </c>
      <c r="G704" s="0" t="s">
        <v>762</v>
      </c>
      <c r="H704" s="3">
        <v>35</v>
      </c>
    </row>
    <row r="705">
      <c r="A705" s="0" t="s">
        <v>1376</v>
      </c>
      <c r="B705" s="0" t="s">
        <v>1377</v>
      </c>
      <c r="C705" s="5">
        <f>=HYPERLINK("https://nusmods.com/modules/CS5223#timetable","Timetable")</f>
      </c>
      <c r="D705" s="5"/>
      <c r="E705" s="5">
        <f>=HYPERLINK("https://luminus.nus.edu.sg/modules/480db4d2-3b4a-4d2c-a2b1-ededa5b62514","LumiNUS course site")</f>
      </c>
      <c r="F705" s="0" t="s">
        <v>724</v>
      </c>
      <c r="G705" s="0" t="s">
        <v>762</v>
      </c>
      <c r="H705" s="3">
        <v>94</v>
      </c>
    </row>
    <row r="706">
      <c r="A706" s="0" t="s">
        <v>1378</v>
      </c>
      <c r="B706" s="0" t="s">
        <v>1379</v>
      </c>
      <c r="C706" s="5">
        <f>=HYPERLINK("https://nusmods.com/modules/CS5228#timetable","Timetable")</f>
      </c>
      <c r="D706" s="5">
        <f>=HYPERLINK("https://canvas.nus.edu.sg/courses/24898","Canvas course site")</f>
      </c>
      <c r="E706" s="5"/>
      <c r="F706" s="0" t="s">
        <v>724</v>
      </c>
      <c r="G706" s="0" t="s">
        <v>762</v>
      </c>
      <c r="H706" s="3">
        <v>190</v>
      </c>
    </row>
    <row r="707">
      <c r="A707" s="0" t="s">
        <v>1380</v>
      </c>
      <c r="B707" s="0" t="s">
        <v>1381</v>
      </c>
      <c r="C707" s="5">
        <f>=HYPERLINK("https://nusmods.com/modules/CS5229#timetable","Timetable")</f>
      </c>
      <c r="D707" s="5"/>
      <c r="E707" s="5">
        <f>=HYPERLINK("https://luminus.nus.edu.sg/modules/1f0b4c2e-7ce5-4298-bb69-74a5db7288f6","LumiNUS course site")</f>
      </c>
      <c r="F707" s="0" t="s">
        <v>724</v>
      </c>
      <c r="G707" s="0" t="s">
        <v>762</v>
      </c>
      <c r="H707" s="3">
        <v>60</v>
      </c>
    </row>
    <row r="708">
      <c r="A708" s="0" t="s">
        <v>1382</v>
      </c>
      <c r="B708" s="0" t="s">
        <v>1383</v>
      </c>
      <c r="C708" s="5">
        <f>=HYPERLINK("https://nusmods.com/modules/CS5231#timetable","Timetable")</f>
      </c>
      <c r="D708" s="5">
        <f>=HYPERLINK("https://canvas.nus.edu.sg/courses/24909","Canvas course site")</f>
      </c>
      <c r="E708" s="5">
        <f>=HYPERLINK("https://luminus.nus.edu.sg/modules/559c17d5-5cca-4034-9b5b-7da909223578","LumiNUS course site")</f>
      </c>
      <c r="F708" s="0" t="s">
        <v>724</v>
      </c>
      <c r="G708" s="0" t="s">
        <v>762</v>
      </c>
      <c r="H708" s="3">
        <v>68</v>
      </c>
    </row>
    <row r="709">
      <c r="A709" s="0" t="s">
        <v>1384</v>
      </c>
      <c r="B709" s="0" t="s">
        <v>1385</v>
      </c>
      <c r="C709" s="5">
        <f>=HYPERLINK("https://nusmods.com/modules/CS5234#timetable","Timetable")</f>
      </c>
      <c r="D709" s="5">
        <f>=HYPERLINK("https://canvas.nus.edu.sg/courses/24914","Canvas course site")</f>
      </c>
      <c r="E709" s="5"/>
      <c r="F709" s="0" t="s">
        <v>724</v>
      </c>
      <c r="G709" s="0" t="s">
        <v>762</v>
      </c>
      <c r="H709" s="3">
        <v>64</v>
      </c>
    </row>
    <row r="710">
      <c r="A710" s="0" t="s">
        <v>1386</v>
      </c>
      <c r="B710" s="0" t="s">
        <v>1387</v>
      </c>
      <c r="C710" s="5">
        <f>=HYPERLINK("https://nusmods.com/modules/CS5236#timetable","Timetable")</f>
      </c>
      <c r="D710" s="5"/>
      <c r="E710" s="5">
        <f>=HYPERLINK("https://luminus.nus.edu.sg/modules/e0b22554-2063-451f-b7ac-1c8d555aee11","LumiNUS course site")</f>
      </c>
      <c r="F710" s="0" t="s">
        <v>724</v>
      </c>
      <c r="G710" s="0" t="s">
        <v>762</v>
      </c>
      <c r="H710" s="3">
        <v>4</v>
      </c>
    </row>
    <row r="711">
      <c r="A711" s="0" t="s">
        <v>1388</v>
      </c>
      <c r="B711" s="0" t="s">
        <v>1389</v>
      </c>
      <c r="C711" s="5">
        <f>=HYPERLINK("https://nusmods.com/modules/CS5238#timetable","Timetable")</f>
      </c>
      <c r="D711" s="5">
        <f>=HYPERLINK("https://canvas.nus.edu.sg/courses/24925","Canvas course site")</f>
      </c>
      <c r="E711" s="5"/>
      <c r="F711" s="0" t="s">
        <v>724</v>
      </c>
      <c r="G711" s="0" t="s">
        <v>762</v>
      </c>
      <c r="H711" s="3">
        <v>7</v>
      </c>
    </row>
    <row r="712">
      <c r="A712" s="0" t="s">
        <v>1390</v>
      </c>
      <c r="B712" s="0" t="s">
        <v>1391</v>
      </c>
      <c r="C712" s="5">
        <f>=HYPERLINK("https://nusmods.com/modules/CS5239#timetable","Timetable")</f>
      </c>
      <c r="D712" s="5">
        <f>=HYPERLINK("https://canvas.nus.edu.sg/courses/24930","Canvas course site")</f>
      </c>
      <c r="E712" s="5"/>
      <c r="F712" s="0" t="s">
        <v>724</v>
      </c>
      <c r="G712" s="0" t="s">
        <v>762</v>
      </c>
      <c r="H712" s="3">
        <v>113</v>
      </c>
    </row>
    <row r="713">
      <c r="A713" s="0" t="s">
        <v>1392</v>
      </c>
      <c r="B713" s="0" t="s">
        <v>1393</v>
      </c>
      <c r="C713" s="5">
        <f>=HYPERLINK("https://nusmods.com/modules/CS5240#timetable","Timetable")</f>
      </c>
      <c r="D713" s="5"/>
      <c r="E713" s="5">
        <f>=HYPERLINK("https://luminus.nus.edu.sg/modules/b5a6b4d0-4a77-4309-822d-cdd97a2c3bb6","LumiNUS course site")</f>
      </c>
      <c r="F713" s="0" t="s">
        <v>724</v>
      </c>
      <c r="G713" s="0" t="s">
        <v>762</v>
      </c>
      <c r="H713" s="3">
        <v>57</v>
      </c>
    </row>
    <row r="714">
      <c r="A714" s="0" t="s">
        <v>1394</v>
      </c>
      <c r="B714" s="0" t="s">
        <v>1395</v>
      </c>
      <c r="C714" s="5">
        <f>=HYPERLINK("https://nusmods.com/modules/CS5242#timetable","Timetable")</f>
      </c>
      <c r="D714" s="5">
        <f>=HYPERLINK("https://canvas.nus.edu.sg/courses/24941","Canvas course site")</f>
      </c>
      <c r="E714" s="5"/>
      <c r="F714" s="0" t="s">
        <v>724</v>
      </c>
      <c r="G714" s="0" t="s">
        <v>762</v>
      </c>
      <c r="H714" s="3">
        <v>174</v>
      </c>
    </row>
    <row r="715">
      <c r="A715" s="0" t="s">
        <v>1396</v>
      </c>
      <c r="B715" s="0" t="s">
        <v>1397</v>
      </c>
      <c r="C715" s="5">
        <f>=HYPERLINK("https://nusmods.com/modules/CS5322#timetable","Timetable")</f>
      </c>
      <c r="D715" s="5">
        <f>=HYPERLINK("https://canvas.nus.edu.sg/courses/24946","Canvas course site")</f>
      </c>
      <c r="E715" s="5"/>
      <c r="F715" s="0" t="s">
        <v>724</v>
      </c>
      <c r="G715" s="0" t="s">
        <v>762</v>
      </c>
      <c r="H715" s="3">
        <v>51</v>
      </c>
    </row>
    <row r="716">
      <c r="A716" s="0" t="s">
        <v>1398</v>
      </c>
      <c r="B716" s="0" t="s">
        <v>1399</v>
      </c>
      <c r="C716" s="5">
        <f>=HYPERLINK("https://nusmods.com/modules/CS5340#timetable","Timetable")</f>
      </c>
      <c r="D716" s="5"/>
      <c r="E716" s="5">
        <f>=HYPERLINK("https://luminus.nus.edu.sg/modules/a15cb702-2b9b-4a7e-bdd5-07f00730cf41","LumiNUS course site")</f>
      </c>
      <c r="F716" s="0" t="s">
        <v>724</v>
      </c>
      <c r="G716" s="0" t="s">
        <v>762</v>
      </c>
      <c r="H716" s="3">
        <v>115</v>
      </c>
    </row>
    <row r="717">
      <c r="A717" s="0" t="s">
        <v>1400</v>
      </c>
      <c r="B717" s="0" t="s">
        <v>1401</v>
      </c>
      <c r="C717" s="5">
        <f>=HYPERLINK("https://nusmods.com/modules/CS5344#timetable","Timetable")</f>
      </c>
      <c r="D717" s="5"/>
      <c r="E717" s="5">
        <f>=HYPERLINK("https://luminus.nus.edu.sg/modules/5ee36d05-de23-4941-a190-73760c5764ba","LumiNUS course site")</f>
      </c>
      <c r="F717" s="0" t="s">
        <v>724</v>
      </c>
      <c r="G717" s="0" t="s">
        <v>762</v>
      </c>
      <c r="H717" s="3">
        <v>129</v>
      </c>
    </row>
    <row r="718">
      <c r="A718" s="0" t="s">
        <v>1402</v>
      </c>
      <c r="B718" s="0" t="s">
        <v>1351</v>
      </c>
      <c r="C718" s="5">
        <f>=HYPERLINK("https://nusmods.com/modules/CS5424#timetable","Timetable")</f>
      </c>
      <c r="D718" s="5"/>
      <c r="E718" s="5">
        <f>=HYPERLINK("https://luminus.nus.edu.sg/modules/ef1a828e-d621-46de-9d33-6b36464e85b7","LumiNUS course site")</f>
      </c>
      <c r="F718" s="0" t="s">
        <v>724</v>
      </c>
      <c r="G718" s="0" t="s">
        <v>762</v>
      </c>
      <c r="H718" s="3">
        <v>74</v>
      </c>
    </row>
    <row r="719">
      <c r="A719" s="0" t="s">
        <v>1403</v>
      </c>
      <c r="B719" s="0" t="s">
        <v>1353</v>
      </c>
      <c r="C719" s="5">
        <f>=HYPERLINK("https://nusmods.com/modules/CS5425#timetable","Timetable")</f>
      </c>
      <c r="D719" s="5"/>
      <c r="E719" s="5">
        <f>=HYPERLINK("https://luminus.nus.edu.sg/modules/834a2a9d-c971-41b4-9f0e-c9fcb0cc4407","LumiNUS course site")</f>
      </c>
      <c r="F719" s="0" t="s">
        <v>724</v>
      </c>
      <c r="G719" s="0" t="s">
        <v>762</v>
      </c>
      <c r="H719" s="3">
        <v>120</v>
      </c>
    </row>
    <row r="720">
      <c r="A720" s="0" t="s">
        <v>1404</v>
      </c>
      <c r="B720" s="0" t="s">
        <v>1361</v>
      </c>
      <c r="C720" s="5">
        <f>=HYPERLINK("https://nusmods.com/modules/CS5439#timetable","Timetable")</f>
      </c>
      <c r="D720" s="5"/>
      <c r="E720" s="5">
        <f>=HYPERLINK("https://luminus.nus.edu.sg/modules/a3297805-1a16-4f1c-8a5f-4260ceb0f566","LumiNUS course site")</f>
      </c>
      <c r="F720" s="0" t="s">
        <v>724</v>
      </c>
      <c r="G720" s="0" t="s">
        <v>762</v>
      </c>
      <c r="H720" s="3">
        <v>36</v>
      </c>
    </row>
    <row r="721">
      <c r="A721" s="0" t="s">
        <v>1405</v>
      </c>
      <c r="B721" s="0" t="s">
        <v>1365</v>
      </c>
      <c r="C721" s="5">
        <f>=HYPERLINK("https://nusmods.com/modules/CS5446#timetable","Timetable")</f>
      </c>
      <c r="D721" s="5"/>
      <c r="E721" s="5">
        <f>=HYPERLINK("https://luminus.nus.edu.sg/modules/bc397e07-d089-4c80-b939-a8fe53682b5e","LumiNUS course site")</f>
      </c>
      <c r="F721" s="0" t="s">
        <v>724</v>
      </c>
      <c r="G721" s="0" t="s">
        <v>762</v>
      </c>
      <c r="H721" s="3">
        <v>101</v>
      </c>
    </row>
    <row r="722">
      <c r="A722" s="0" t="s">
        <v>1406</v>
      </c>
      <c r="B722" s="0" t="s">
        <v>1369</v>
      </c>
      <c r="C722" s="5">
        <f>=HYPERLINK("https://nusmods.com/modules/CS5461#timetable","Timetable")</f>
      </c>
      <c r="D722" s="5"/>
      <c r="E722" s="5">
        <f>=HYPERLINK("https://luminus.nus.edu.sg/modules/0311d053-2283-4614-b52d-6d84b4f6b809","LumiNUS course site")</f>
      </c>
      <c r="F722" s="0" t="s">
        <v>724</v>
      </c>
      <c r="G722" s="0" t="s">
        <v>762</v>
      </c>
      <c r="H722" s="3">
        <v>51</v>
      </c>
    </row>
    <row r="723">
      <c r="A723" s="0" t="s">
        <v>1407</v>
      </c>
      <c r="B723" s="0" t="s">
        <v>1408</v>
      </c>
      <c r="C723" s="5">
        <f>=HYPERLINK("https://nusmods.com/modules/CS5562#timetable","Timetable")</f>
      </c>
      <c r="D723" s="5"/>
      <c r="E723" s="5">
        <f>=HYPERLINK("https://luminus.nus.edu.sg/modules/eb81bb1f-20f7-4bb2-a771-35c0a61c5de1","LumiNUS course site")</f>
      </c>
      <c r="F723" s="0" t="s">
        <v>724</v>
      </c>
      <c r="G723" s="0" t="s">
        <v>762</v>
      </c>
      <c r="H723" s="3">
        <v>24</v>
      </c>
    </row>
    <row r="724">
      <c r="A724" s="0" t="s">
        <v>1409</v>
      </c>
      <c r="B724" s="0" t="s">
        <v>1371</v>
      </c>
      <c r="C724" s="5">
        <f>=HYPERLINK("https://nusmods.com/modules/CS5647#timetable","Timetable")</f>
      </c>
      <c r="D724" s="5"/>
      <c r="E724" s="5">
        <f>=HYPERLINK("https://luminus.nus.edu.sg/modules/aa5d9599-6202-41ba-baca-6d18656744a1","LumiNUS course site")</f>
      </c>
      <c r="F724" s="0" t="s">
        <v>724</v>
      </c>
      <c r="G724" s="0" t="s">
        <v>762</v>
      </c>
      <c r="H724" s="3">
        <v>20</v>
      </c>
    </row>
    <row r="725">
      <c r="A725" s="0" t="s">
        <v>1410</v>
      </c>
      <c r="B725" s="0" t="s">
        <v>1411</v>
      </c>
      <c r="C725" s="5">
        <f>=HYPERLINK("https://nusmods.com/modules/CS6101#timetable","Timetable")</f>
      </c>
      <c r="D725" s="5"/>
      <c r="E725" s="5"/>
      <c r="F725" s="0" t="s">
        <v>724</v>
      </c>
      <c r="G725" s="0" t="s">
        <v>762</v>
      </c>
      <c r="H725" s="3">
        <v>53</v>
      </c>
    </row>
    <row r="726">
      <c r="A726" s="0" t="s">
        <v>1412</v>
      </c>
      <c r="B726" s="0" t="s">
        <v>1413</v>
      </c>
      <c r="C726" s="5">
        <f>=HYPERLINK("https://nusmods.com/modules/CS6203#timetable","Timetable")</f>
      </c>
      <c r="D726" s="5"/>
      <c r="E726" s="5">
        <f>=HYPERLINK("https://luminus.nus.edu.sg/modules/cf99a859-9a7f-4860-8c36-0f0ad73c6bca","LumiNUS course site")</f>
      </c>
      <c r="F726" s="0" t="s">
        <v>724</v>
      </c>
      <c r="G726" s="0" t="s">
        <v>762</v>
      </c>
      <c r="H726" s="3">
        <v>4</v>
      </c>
    </row>
    <row r="727">
      <c r="A727" s="0" t="s">
        <v>1414</v>
      </c>
      <c r="B727" s="0" t="s">
        <v>1415</v>
      </c>
      <c r="C727" s="5">
        <f>=HYPERLINK("https://nusmods.com/modules/CS6204#timetable","Timetable")</f>
      </c>
      <c r="D727" s="5"/>
      <c r="E727" s="5">
        <f>=HYPERLINK("https://luminus.nus.edu.sg/modules/239d7e00-6273-4c9b-9244-85d40113277a","LumiNUS course site")</f>
      </c>
      <c r="F727" s="0" t="s">
        <v>724</v>
      </c>
      <c r="G727" s="0" t="s">
        <v>762</v>
      </c>
      <c r="H727" s="3">
        <v>11</v>
      </c>
    </row>
    <row r="728">
      <c r="A728" s="0" t="s">
        <v>1416</v>
      </c>
      <c r="B728" s="0" t="s">
        <v>1417</v>
      </c>
      <c r="C728" s="5">
        <f>=HYPERLINK("https://nusmods.com/modules/CS6216#timetable","Timetable")</f>
      </c>
      <c r="D728" s="5">
        <f>=HYPERLINK("https://canvas.nus.edu.sg/courses/25009","Canvas course site")</f>
      </c>
      <c r="E728" s="5">
        <f>=HYPERLINK("https://luminus.nus.edu.sg/modules/b6ac3161-7cf3-4ce9-b0de-ad71e7945f41","LumiNUS course site")</f>
      </c>
      <c r="F728" s="0" t="s">
        <v>724</v>
      </c>
      <c r="G728" s="0" t="s">
        <v>762</v>
      </c>
      <c r="H728" s="3">
        <v>34</v>
      </c>
    </row>
    <row r="729">
      <c r="A729" s="0" t="s">
        <v>1418</v>
      </c>
      <c r="B729" s="0" t="s">
        <v>1419</v>
      </c>
      <c r="C729" s="5">
        <f>=HYPERLINK("https://nusmods.com/modules/CS6217#timetable","Timetable")</f>
      </c>
      <c r="D729" s="5">
        <f>=HYPERLINK("https://canvas.nus.edu.sg/courses/25013","Canvas course site")</f>
      </c>
      <c r="E729" s="5"/>
      <c r="F729" s="0" t="s">
        <v>724</v>
      </c>
      <c r="G729" s="0" t="s">
        <v>762</v>
      </c>
      <c r="H729" s="3">
        <v>6</v>
      </c>
    </row>
    <row r="730">
      <c r="A730" s="0" t="s">
        <v>1420</v>
      </c>
      <c r="B730" s="0" t="s">
        <v>1421</v>
      </c>
      <c r="C730" s="5">
        <f>=HYPERLINK("https://nusmods.com/modules/CS6218#timetable","Timetable")</f>
      </c>
      <c r="D730" s="5">
        <f>=HYPERLINK("https://canvas.nus.edu.sg/courses/25019","Canvas course site")</f>
      </c>
      <c r="E730" s="5"/>
      <c r="F730" s="0" t="s">
        <v>724</v>
      </c>
      <c r="G730" s="0" t="s">
        <v>762</v>
      </c>
      <c r="H730" s="3">
        <v>10</v>
      </c>
    </row>
    <row r="731">
      <c r="A731" s="0" t="s">
        <v>1422</v>
      </c>
      <c r="B731" s="0" t="s">
        <v>1423</v>
      </c>
      <c r="C731" s="5">
        <f>=HYPERLINK("https://nusmods.com/modules/CS6219#timetable","Timetable")</f>
      </c>
      <c r="D731" s="5"/>
      <c r="E731" s="5">
        <f>=HYPERLINK("https://luminus.nus.edu.sg/modules/19243df9-edf2-49e6-a809-d108ed25a0e6","LumiNUS course site")</f>
      </c>
      <c r="F731" s="0" t="s">
        <v>724</v>
      </c>
      <c r="G731" s="0" t="s">
        <v>762</v>
      </c>
      <c r="H731" s="3">
        <v>11</v>
      </c>
    </row>
    <row r="732">
      <c r="A732" s="0" t="s">
        <v>1424</v>
      </c>
      <c r="B732" s="0" t="s">
        <v>1425</v>
      </c>
      <c r="C732" s="5">
        <f>=HYPERLINK("https://nusmods.com/modules/CS6222#timetable","Timetable")</f>
      </c>
      <c r="D732" s="5">
        <f>=HYPERLINK("https://canvas.nus.edu.sg/courses/25029","Canvas course site")</f>
      </c>
      <c r="E732" s="5"/>
      <c r="F732" s="0" t="s">
        <v>724</v>
      </c>
      <c r="G732" s="0" t="s">
        <v>762</v>
      </c>
      <c r="H732" s="3">
        <v>18</v>
      </c>
    </row>
    <row r="733">
      <c r="A733" s="0" t="s">
        <v>1426</v>
      </c>
      <c r="B733" s="0" t="s">
        <v>1427</v>
      </c>
      <c r="C733" s="5">
        <f>=HYPERLINK("https://nusmods.com/modules/CS6231#timetable","Timetable")</f>
      </c>
      <c r="D733" s="5"/>
      <c r="E733" s="5">
        <f>=HYPERLINK("https://luminus.nus.edu.sg/modules/558f132b-5c5d-4564-90c3-7b0aec5a8089","LumiNUS course site")</f>
      </c>
      <c r="F733" s="0" t="s">
        <v>724</v>
      </c>
      <c r="G733" s="0" t="s">
        <v>762</v>
      </c>
      <c r="H733" s="3">
        <v>22</v>
      </c>
    </row>
    <row r="734">
      <c r="A734" s="0" t="s">
        <v>1428</v>
      </c>
      <c r="B734" s="0" t="s">
        <v>1429</v>
      </c>
      <c r="C734" s="5">
        <f>=HYPERLINK("https://nusmods.com/modules/CS6234#timetable","Timetable")</f>
      </c>
      <c r="D734" s="5">
        <f>=HYPERLINK("https://canvas.nus.edu.sg/courses/25039","Canvas course site")</f>
      </c>
      <c r="E734" s="5">
        <f>=HYPERLINK("https://luminus.nus.edu.sg/modules/f0fddbc6-8240-4173-9582-f033d055af07","LumiNUS course site")</f>
      </c>
      <c r="F734" s="0" t="s">
        <v>724</v>
      </c>
      <c r="G734" s="0" t="s">
        <v>762</v>
      </c>
      <c r="H734" s="3">
        <v>33</v>
      </c>
    </row>
    <row r="735">
      <c r="A735" s="0" t="s">
        <v>1430</v>
      </c>
      <c r="B735" s="0" t="s">
        <v>1431</v>
      </c>
      <c r="C735" s="5">
        <f>=HYPERLINK("https://nusmods.com/modules/CS6284#timetable","Timetable")</f>
      </c>
      <c r="D735" s="5">
        <f>=HYPERLINK("https://canvas.nus.edu.sg/courses/35425","Canvas course site")</f>
      </c>
      <c r="E735" s="5">
        <f>=HYPERLINK("https://luminus.nus.edu.sg/modules/331aa5ee-7d14-4900-bcc5-3643fc981474","LumiNUS course site")</f>
      </c>
      <c r="F735" s="0" t="s">
        <v>724</v>
      </c>
      <c r="G735" s="0" t="s">
        <v>762</v>
      </c>
      <c r="H735" s="3">
        <v>25</v>
      </c>
    </row>
    <row r="736">
      <c r="A736" s="0" t="s">
        <v>1432</v>
      </c>
      <c r="B736" s="0" t="s">
        <v>1433</v>
      </c>
      <c r="C736" s="5">
        <f>=HYPERLINK("https://nusmods.com/modules/DAO1704#timetable","Timetable")</f>
      </c>
      <c r="D736" s="5">
        <f>=HYPERLINK("https://canvas.nus.edu.sg/courses/25049","Canvas course site")</f>
      </c>
      <c r="E736" s="5"/>
      <c r="F736" s="0" t="s">
        <v>28</v>
      </c>
      <c r="G736" s="0" t="s">
        <v>228</v>
      </c>
      <c r="H736" s="3">
        <v>531</v>
      </c>
    </row>
    <row r="737">
      <c r="A737" s="0" t="s">
        <v>1434</v>
      </c>
      <c r="B737" s="0" t="s">
        <v>1433</v>
      </c>
      <c r="C737" s="5">
        <f>=HYPERLINK("https://nusmods.com/modules/DAO1704X#timetable","Timetable")</f>
      </c>
      <c r="D737" s="5">
        <f>=HYPERLINK("https://canvas.nus.edu.sg/courses/25054","Canvas course site")</f>
      </c>
      <c r="E737" s="5"/>
      <c r="F737" s="0" t="s">
        <v>28</v>
      </c>
      <c r="G737" s="0" t="s">
        <v>228</v>
      </c>
      <c r="H737" s="3">
        <v>123</v>
      </c>
    </row>
    <row r="738">
      <c r="A738" s="0" t="s">
        <v>1435</v>
      </c>
      <c r="B738" s="0" t="s">
        <v>1436</v>
      </c>
      <c r="C738" s="5">
        <f>=HYPERLINK("https://nusmods.com/modules/DAO2702#timetable","Timetable")</f>
      </c>
      <c r="D738" s="5">
        <f>=HYPERLINK("https://canvas.nus.edu.sg/courses/25059","Canvas course site")</f>
      </c>
      <c r="E738" s="5"/>
      <c r="F738" s="0" t="s">
        <v>28</v>
      </c>
      <c r="G738" s="0" t="s">
        <v>228</v>
      </c>
      <c r="H738" s="3">
        <v>660</v>
      </c>
    </row>
    <row r="739">
      <c r="A739" s="0" t="s">
        <v>1437</v>
      </c>
      <c r="B739" s="0" t="s">
        <v>1438</v>
      </c>
      <c r="C739" s="5">
        <f>=HYPERLINK("https://nusmods.com/modules/DAO2703#timetable","Timetable")</f>
      </c>
      <c r="D739" s="5">
        <f>=HYPERLINK("https://canvas.nus.edu.sg/courses/25064","Canvas course site")</f>
      </c>
      <c r="E739" s="5"/>
      <c r="F739" s="0" t="s">
        <v>28</v>
      </c>
      <c r="G739" s="0" t="s">
        <v>228</v>
      </c>
      <c r="H739" s="3">
        <v>696</v>
      </c>
    </row>
    <row r="740">
      <c r="A740" s="0" t="s">
        <v>1439</v>
      </c>
      <c r="B740" s="0" t="s">
        <v>1440</v>
      </c>
      <c r="C740" s="5">
        <f>=HYPERLINK("https://nusmods.com/modules/DBA3701#timetable","Timetable")</f>
      </c>
      <c r="D740" s="5"/>
      <c r="E740" s="5">
        <f>=HYPERLINK("https://luminus.nus.edu.sg/modules/707a0350-29a7-4411-8b26-0265d37419d1","LumiNUS course site")</f>
      </c>
      <c r="F740" s="0" t="s">
        <v>28</v>
      </c>
      <c r="G740" s="0" t="s">
        <v>228</v>
      </c>
      <c r="H740" s="3">
        <v>49</v>
      </c>
    </row>
    <row r="741">
      <c r="A741" s="0" t="s">
        <v>1441</v>
      </c>
      <c r="B741" s="0" t="s">
        <v>1442</v>
      </c>
      <c r="C741" s="5">
        <f>=HYPERLINK("https://nusmods.com/modules/DBA3702#timetable","Timetable")</f>
      </c>
      <c r="D741" s="5">
        <f>=HYPERLINK("https://canvas.nus.edu.sg/courses/25073","Canvas course site")</f>
      </c>
      <c r="E741" s="5"/>
      <c r="F741" s="0" t="s">
        <v>28</v>
      </c>
      <c r="G741" s="0" t="s">
        <v>228</v>
      </c>
      <c r="H741" s="3">
        <v>95</v>
      </c>
    </row>
    <row r="742">
      <c r="A742" s="0" t="s">
        <v>1443</v>
      </c>
      <c r="B742" s="0" t="s">
        <v>1444</v>
      </c>
      <c r="C742" s="5">
        <f>=HYPERLINK("https://nusmods.com/modules/DBA3711#timetable","Timetable")</f>
      </c>
      <c r="D742" s="5">
        <f>=HYPERLINK("https://canvas.nus.edu.sg/courses/25077","Canvas course site")</f>
      </c>
      <c r="E742" s="5">
        <f>=HYPERLINK("https://luminus.nus.edu.sg/modules/698781c7-1656-4395-9dd2-eb91aa499820","LumiNUS course site")</f>
      </c>
      <c r="F742" s="0" t="s">
        <v>28</v>
      </c>
      <c r="G742" s="0" t="s">
        <v>228</v>
      </c>
      <c r="H742" s="3">
        <v>22</v>
      </c>
    </row>
    <row r="743">
      <c r="A743" s="0" t="s">
        <v>1445</v>
      </c>
      <c r="B743" s="0" t="s">
        <v>1446</v>
      </c>
      <c r="C743" s="5">
        <f>=HYPERLINK("https://nusmods.com/modules/DBA3713#timetable","Timetable")</f>
      </c>
      <c r="D743" s="5">
        <f>=HYPERLINK("https://canvas.nus.edu.sg/courses/27079","Canvas course site")</f>
      </c>
      <c r="E743" s="5"/>
      <c r="F743" s="0" t="s">
        <v>28</v>
      </c>
      <c r="G743" s="0" t="s">
        <v>228</v>
      </c>
      <c r="H743" s="3">
        <v>28</v>
      </c>
    </row>
    <row r="744">
      <c r="A744" s="0" t="s">
        <v>1447</v>
      </c>
      <c r="B744" s="0" t="s">
        <v>1448</v>
      </c>
      <c r="C744" s="5">
        <f>=HYPERLINK("https://nusmods.com/modules/DBA3751#timetable","Timetable")</f>
      </c>
      <c r="D744" s="5"/>
      <c r="E744" s="5"/>
      <c r="F744" s="0" t="s">
        <v>28</v>
      </c>
      <c r="G744" s="0" t="s">
        <v>228</v>
      </c>
      <c r="H744" s="3">
        <v>2</v>
      </c>
    </row>
    <row r="745">
      <c r="A745" s="0" t="s">
        <v>1449</v>
      </c>
      <c r="B745" s="0" t="s">
        <v>1450</v>
      </c>
      <c r="C745" s="5">
        <f>=HYPERLINK("https://nusmods.com/modules/DBA3803#timetable","Timetable")</f>
      </c>
      <c r="D745" s="5">
        <f>=HYPERLINK("https://canvas.nus.edu.sg/courses/25091","Canvas course site")</f>
      </c>
      <c r="E745" s="5"/>
      <c r="F745" s="0" t="s">
        <v>28</v>
      </c>
      <c r="G745" s="0" t="s">
        <v>228</v>
      </c>
      <c r="H745" s="3">
        <v>97</v>
      </c>
    </row>
    <row r="746">
      <c r="A746" s="0" t="s">
        <v>1451</v>
      </c>
      <c r="B746" s="0" t="s">
        <v>1452</v>
      </c>
      <c r="C746" s="5">
        <f>=HYPERLINK("https://nusmods.com/modules/DBA4712#timetable","Timetable")</f>
      </c>
      <c r="D746" s="5">
        <f>=HYPERLINK("https://canvas.nus.edu.sg/courses/25096","Canvas course site")</f>
      </c>
      <c r="E746" s="5"/>
      <c r="F746" s="0" t="s">
        <v>28</v>
      </c>
      <c r="G746" s="0" t="s">
        <v>228</v>
      </c>
      <c r="H746" s="3">
        <v>20</v>
      </c>
    </row>
    <row r="747">
      <c r="A747" s="0" t="s">
        <v>1453</v>
      </c>
      <c r="B747" s="0" t="s">
        <v>1454</v>
      </c>
      <c r="C747" s="5">
        <f>=HYPERLINK("https://nusmods.com/modules/DBA4751#timetable","Timetable")</f>
      </c>
      <c r="D747" s="5"/>
      <c r="E747" s="5"/>
      <c r="F747" s="0" t="s">
        <v>28</v>
      </c>
      <c r="G747" s="0" t="s">
        <v>228</v>
      </c>
      <c r="H747" s="3">
        <v>1</v>
      </c>
    </row>
    <row r="748">
      <c r="A748" s="0" t="s">
        <v>1455</v>
      </c>
      <c r="B748" s="0" t="s">
        <v>1456</v>
      </c>
      <c r="C748" s="5">
        <f>=HYPERLINK("https://nusmods.com/modules/DBA4761A#timetable","Timetable")</f>
      </c>
      <c r="D748" s="5"/>
      <c r="E748" s="5">
        <f>=HYPERLINK("https://luminus.nus.edu.sg/modules/9fe57e58-2b2d-4fbd-a961-136e74651747","LumiNUS course site")</f>
      </c>
      <c r="F748" s="0" t="s">
        <v>28</v>
      </c>
      <c r="G748" s="0" t="s">
        <v>228</v>
      </c>
      <c r="H748" s="3">
        <v>15</v>
      </c>
    </row>
    <row r="749">
      <c r="A749" s="0" t="s">
        <v>1457</v>
      </c>
      <c r="B749" s="0" t="s">
        <v>1458</v>
      </c>
      <c r="C749" s="5">
        <f>=HYPERLINK("https://nusmods.com/modules/DBA4811#timetable","Timetable")</f>
      </c>
      <c r="D749" s="5"/>
      <c r="E749" s="5">
        <f>=HYPERLINK("https://luminus.nus.edu.sg/modules/a26def64-9efc-41a8-ae8d-07ab04a8c04a","LumiNUS course site")</f>
      </c>
      <c r="F749" s="0" t="s">
        <v>28</v>
      </c>
      <c r="G749" s="0" t="s">
        <v>228</v>
      </c>
      <c r="H749" s="3">
        <v>52</v>
      </c>
    </row>
    <row r="750">
      <c r="A750" s="0" t="s">
        <v>1459</v>
      </c>
      <c r="B750" s="0" t="s">
        <v>1460</v>
      </c>
      <c r="C750" s="5">
        <f>=HYPERLINK("https://nusmods.com/modules/DBA4813#timetable","Timetable")</f>
      </c>
      <c r="D750" s="5">
        <f>=HYPERLINK("https://canvas.nus.edu.sg/courses/27154","Canvas course site")</f>
      </c>
      <c r="E750" s="5"/>
      <c r="F750" s="0" t="s">
        <v>28</v>
      </c>
      <c r="G750" s="0" t="s">
        <v>228</v>
      </c>
      <c r="H750" s="3">
        <v>34</v>
      </c>
    </row>
    <row r="751">
      <c r="A751" s="0" t="s">
        <v>1461</v>
      </c>
      <c r="B751" s="0" t="s">
        <v>343</v>
      </c>
      <c r="C751" s="5">
        <f>=HYPERLINK("https://nusmods.com/modules/DBA5101#timetable","Timetable")</f>
      </c>
      <c r="D751" s="5">
        <f>=HYPERLINK("https://canvas.nus.edu.sg/courses/25114","Canvas course site")</f>
      </c>
      <c r="E751" s="5"/>
      <c r="F751" s="0" t="s">
        <v>28</v>
      </c>
      <c r="G751" s="0" t="s">
        <v>228</v>
      </c>
      <c r="H751" s="3">
        <v>132</v>
      </c>
    </row>
    <row r="752">
      <c r="A752" s="0" t="s">
        <v>1462</v>
      </c>
      <c r="B752" s="0" t="s">
        <v>751</v>
      </c>
      <c r="C752" s="5">
        <f>=HYPERLINK("https://nusmods.com/modules/DBA5102#timetable","Timetable")</f>
      </c>
      <c r="D752" s="5"/>
      <c r="E752" s="5">
        <f>=HYPERLINK("https://luminus.nus.edu.sg/modules/d7af5b53-127e-4d79-85f2-095ab00e1c3e","LumiNUS course site")</f>
      </c>
      <c r="F752" s="0" t="s">
        <v>28</v>
      </c>
      <c r="G752" s="0" t="s">
        <v>228</v>
      </c>
      <c r="H752" s="3">
        <v>181</v>
      </c>
    </row>
    <row r="753">
      <c r="A753" s="0" t="s">
        <v>1463</v>
      </c>
      <c r="B753" s="0" t="s">
        <v>1464</v>
      </c>
      <c r="C753" s="5">
        <f>=HYPERLINK("https://nusmods.com/modules/DBA5103#timetable","Timetable")</f>
      </c>
      <c r="D753" s="5"/>
      <c r="E753" s="5">
        <f>=HYPERLINK("https://luminus.nus.edu.sg/modules/181c7f6c-4bd6-4c9a-be58-4f334dec1f5f","LumiNUS course site")</f>
      </c>
      <c r="F753" s="0" t="s">
        <v>28</v>
      </c>
      <c r="G753" s="0" t="s">
        <v>228</v>
      </c>
      <c r="H753" s="3">
        <v>136</v>
      </c>
    </row>
    <row r="754">
      <c r="A754" s="0" t="s">
        <v>1465</v>
      </c>
      <c r="B754" s="0" t="s">
        <v>1466</v>
      </c>
      <c r="C754" s="5">
        <f>=HYPERLINK("https://nusmods.com/modules/DBA5106#timetable","Timetable")</f>
      </c>
      <c r="D754" s="5">
        <f>=HYPERLINK("https://canvas.nus.edu.sg/courses/25129","Canvas course site")</f>
      </c>
      <c r="E754" s="5"/>
      <c r="F754" s="0" t="s">
        <v>28</v>
      </c>
      <c r="G754" s="0" t="s">
        <v>228</v>
      </c>
      <c r="H754" s="3">
        <v>137</v>
      </c>
    </row>
    <row r="755">
      <c r="A755" s="0" t="s">
        <v>1467</v>
      </c>
      <c r="B755" s="0" t="s">
        <v>1468</v>
      </c>
      <c r="C755" s="5">
        <f>=HYPERLINK("https://nusmods.com/modules/DE5106#timetable","Timetable")</f>
      </c>
      <c r="D755" s="5"/>
      <c r="E755" s="5">
        <f>=HYPERLINK("https://luminus.nus.edu.sg/modules/160810c3-7be0-48b0-9ab8-a5e1d156936e","LumiNUS course site")</f>
      </c>
      <c r="F755" s="0" t="s">
        <v>10</v>
      </c>
      <c r="G755" s="0" t="s">
        <v>263</v>
      </c>
      <c r="H755" s="3">
        <v>35</v>
      </c>
    </row>
    <row r="756">
      <c r="A756" s="0" t="s">
        <v>1469</v>
      </c>
      <c r="B756" s="0" t="s">
        <v>1470</v>
      </c>
      <c r="C756" s="5">
        <f>=HYPERLINK("https://nusmods.com/modules/DE5108#timetable","Timetable")</f>
      </c>
      <c r="D756" s="5"/>
      <c r="E756" s="5"/>
      <c r="F756" s="0" t="s">
        <v>10</v>
      </c>
      <c r="G756" s="0" t="s">
        <v>263</v>
      </c>
      <c r="H756" s="3">
        <v>0</v>
      </c>
    </row>
    <row r="757">
      <c r="A757" s="0" t="s">
        <v>1471</v>
      </c>
      <c r="B757" s="0" t="s">
        <v>1472</v>
      </c>
      <c r="C757" s="5">
        <f>=HYPERLINK("https://nusmods.com/modules/DE5109#timetable","Timetable")</f>
      </c>
      <c r="D757" s="5"/>
      <c r="E757" s="5"/>
      <c r="F757" s="0" t="s">
        <v>10</v>
      </c>
      <c r="G757" s="0" t="s">
        <v>263</v>
      </c>
      <c r="H757" s="3">
        <v>4</v>
      </c>
    </row>
    <row r="758">
      <c r="A758" s="0" t="s">
        <v>1473</v>
      </c>
      <c r="B758" s="0" t="s">
        <v>1474</v>
      </c>
      <c r="C758" s="5">
        <f>=HYPERLINK("https://nusmods.com/modules/DE5269#timetable","Timetable")</f>
      </c>
      <c r="D758" s="5"/>
      <c r="E758" s="5">
        <f>=HYPERLINK("https://luminus.nus.edu.sg/modules/38f2ffb3-c368-459a-ba44-7ceff89d59e8","LumiNUS course site")</f>
      </c>
      <c r="F758" s="0" t="s">
        <v>10</v>
      </c>
      <c r="G758" s="0" t="s">
        <v>263</v>
      </c>
      <c r="H758" s="3">
        <v>41</v>
      </c>
    </row>
    <row r="759">
      <c r="A759" s="0" t="s">
        <v>1475</v>
      </c>
      <c r="B759" s="0" t="s">
        <v>1476</v>
      </c>
      <c r="C759" s="5">
        <f>=HYPERLINK("https://nusmods.com/modules/DEP5101#timetable","Timetable")</f>
      </c>
      <c r="D759" s="5"/>
      <c r="E759" s="5">
        <f>=HYPERLINK("https://luminus.nus.edu.sg/modules/10fdcf96-a3d4-4758-b89b-5ede8f473d1e","LumiNUS course site")</f>
      </c>
      <c r="F759" s="0" t="s">
        <v>10</v>
      </c>
      <c r="G759" s="0" t="s">
        <v>263</v>
      </c>
      <c r="H759" s="3">
        <v>26</v>
      </c>
    </row>
    <row r="760">
      <c r="A760" s="0" t="s">
        <v>1477</v>
      </c>
      <c r="B760" s="0" t="s">
        <v>1478</v>
      </c>
      <c r="C760" s="5">
        <f>=HYPERLINK("https://nusmods.com/modules/DEP5101A#timetable","Timetable")</f>
      </c>
      <c r="D760" s="5"/>
      <c r="E760" s="5">
        <f>=HYPERLINK("https://luminus.nus.edu.sg/modules/f980bbde-0d60-41c3-b412-bccc00985ad0","LumiNUS course site")</f>
      </c>
      <c r="F760" s="0" t="s">
        <v>10</v>
      </c>
      <c r="G760" s="0" t="s">
        <v>263</v>
      </c>
      <c r="H760" s="3">
        <v>27</v>
      </c>
    </row>
    <row r="761">
      <c r="A761" s="0" t="s">
        <v>1479</v>
      </c>
      <c r="B761" s="0" t="s">
        <v>1480</v>
      </c>
      <c r="C761" s="5">
        <f>=HYPERLINK("https://nusmods.com/modules/DEP5103#timetable","Timetable")</f>
      </c>
      <c r="D761" s="5"/>
      <c r="E761" s="5">
        <f>=HYPERLINK("https://luminus.nus.edu.sg/modules/faee8ea6-7a74-405c-b734-2547b88d412f","LumiNUS course site")</f>
      </c>
      <c r="F761" s="0" t="s">
        <v>10</v>
      </c>
      <c r="G761" s="0" t="s">
        <v>263</v>
      </c>
      <c r="H761" s="3">
        <v>31</v>
      </c>
    </row>
    <row r="762">
      <c r="A762" s="0" t="s">
        <v>1481</v>
      </c>
      <c r="B762" s="0" t="s">
        <v>1482</v>
      </c>
      <c r="C762" s="5">
        <f>=HYPERLINK("https://nusmods.com/modules/DEP5104#timetable","Timetable")</f>
      </c>
      <c r="D762" s="5"/>
      <c r="E762" s="5">
        <f>=HYPERLINK("https://luminus.nus.edu.sg/modules/befb526e-5362-4454-8f6e-c741ecbaf8c9","LumiNUS course site")</f>
      </c>
      <c r="F762" s="0" t="s">
        <v>10</v>
      </c>
      <c r="G762" s="0" t="s">
        <v>263</v>
      </c>
      <c r="H762" s="3">
        <v>27</v>
      </c>
    </row>
    <row r="763">
      <c r="A763" s="0" t="s">
        <v>1483</v>
      </c>
      <c r="B763" s="0" t="s">
        <v>1484</v>
      </c>
      <c r="C763" s="5">
        <f>=HYPERLINK("https://nusmods.com/modules/DEP5105#timetable","Timetable")</f>
      </c>
      <c r="D763" s="5"/>
      <c r="E763" s="5">
        <f>=HYPERLINK("https://luminus.nus.edu.sg/modules/0c5a4f87-0ae2-4681-9942-5bbcdefea913","LumiNUS course site")</f>
      </c>
      <c r="F763" s="0" t="s">
        <v>10</v>
      </c>
      <c r="G763" s="0" t="s">
        <v>263</v>
      </c>
      <c r="H763" s="3">
        <v>37</v>
      </c>
    </row>
    <row r="764">
      <c r="A764" s="0" t="s">
        <v>1485</v>
      </c>
      <c r="B764" s="0" t="s">
        <v>1486</v>
      </c>
      <c r="C764" s="5">
        <f>=HYPERLINK("https://nusmods.com/modules/DEP5108#timetable","Timetable")</f>
      </c>
      <c r="D764" s="5"/>
      <c r="E764" s="5">
        <f>=HYPERLINK("https://luminus.nus.edu.sg/modules/c9e8f56d-6ce4-44df-8ea1-f9a5d115f876","LumiNUS course site")</f>
      </c>
      <c r="F764" s="0" t="s">
        <v>10</v>
      </c>
      <c r="G764" s="0" t="s">
        <v>11</v>
      </c>
      <c r="H764" s="3">
        <v>1</v>
      </c>
    </row>
    <row r="765">
      <c r="A765" s="0" t="s">
        <v>1487</v>
      </c>
      <c r="B765" s="0" t="s">
        <v>1488</v>
      </c>
      <c r="C765" s="5">
        <f>=HYPERLINK("https://nusmods.com/modules/DEP5110#timetable","Timetable")</f>
      </c>
      <c r="D765" s="5"/>
      <c r="E765" s="5"/>
      <c r="F765" s="0" t="s">
        <v>10</v>
      </c>
      <c r="G765" s="0" t="s">
        <v>11</v>
      </c>
      <c r="H765" s="3">
        <v>0</v>
      </c>
    </row>
    <row r="766">
      <c r="A766" s="0" t="s">
        <v>1489</v>
      </c>
      <c r="B766" s="0" t="s">
        <v>1490</v>
      </c>
      <c r="C766" s="5">
        <f>=HYPERLINK("https://nusmods.com/modules/DEP5112#timetable","Timetable")</f>
      </c>
      <c r="D766" s="5"/>
      <c r="E766" s="5">
        <f>=HYPERLINK("https://luminus.nus.edu.sg/modules/6db4ef4a-7ee5-469d-b684-054d140fa85b","LumiNUS course site")</f>
      </c>
      <c r="F766" s="0" t="s">
        <v>10</v>
      </c>
      <c r="G766" s="0" t="s">
        <v>263</v>
      </c>
      <c r="H766" s="3">
        <v>31</v>
      </c>
    </row>
    <row r="767">
      <c r="A767" s="0" t="s">
        <v>1491</v>
      </c>
      <c r="B767" s="0" t="s">
        <v>1492</v>
      </c>
      <c r="C767" s="5">
        <f>=HYPERLINK("https://nusmods.com/modules/DEP5114#timetable","Timetable")</f>
      </c>
      <c r="D767" s="5"/>
      <c r="E767" s="5">
        <f>=HYPERLINK("https://luminus.nus.edu.sg/modules/0c126d7a-c324-48fa-898e-2cccf39aef95","LumiNUS course site")</f>
      </c>
      <c r="F767" s="0" t="s">
        <v>10</v>
      </c>
      <c r="G767" s="0" t="s">
        <v>11</v>
      </c>
      <c r="H767" s="3">
        <v>0</v>
      </c>
    </row>
    <row r="768">
      <c r="A768" s="0" t="s">
        <v>1493</v>
      </c>
      <c r="B768" s="0" t="s">
        <v>1494</v>
      </c>
      <c r="C768" s="5">
        <f>=HYPERLINK("https://nusmods.com/modules/DI5100#timetable","Timetable")</f>
      </c>
      <c r="D768" s="5"/>
      <c r="E768" s="5"/>
      <c r="F768" s="0" t="s">
        <v>1495</v>
      </c>
      <c r="G768" s="0" t="s">
        <v>1496</v>
      </c>
      <c r="H768" s="3">
        <v>5</v>
      </c>
    </row>
    <row r="769">
      <c r="A769" s="0" t="s">
        <v>1497</v>
      </c>
      <c r="B769" s="0" t="s">
        <v>1498</v>
      </c>
      <c r="C769" s="5">
        <f>=HYPERLINK("https://nusmods.com/modules/DI5200#timetable","Timetable")</f>
      </c>
      <c r="D769" s="5"/>
      <c r="E769" s="5">
        <f>=HYPERLINK("https://luminus.nus.edu.sg/modules/a2db9d6f-f6d3-40d7-8189-5a21e08bf7e4","LumiNUS course site")</f>
      </c>
      <c r="F769" s="0" t="s">
        <v>1495</v>
      </c>
      <c r="G769" s="0" t="s">
        <v>1496</v>
      </c>
      <c r="H769" s="3">
        <v>5</v>
      </c>
    </row>
    <row r="770">
      <c r="A770" s="0" t="s">
        <v>1499</v>
      </c>
      <c r="B770" s="0" t="s">
        <v>1500</v>
      </c>
      <c r="C770" s="5">
        <f>=HYPERLINK("https://nusmods.com/modules/DL5102#timetable","Timetable")</f>
      </c>
      <c r="D770" s="5"/>
      <c r="E770" s="5">
        <f>=HYPERLINK("https://luminus.nus.edu.sg/modules/4cb371b3-4a62-45d1-90d8-b2869afd90d4","LumiNUS course site")</f>
      </c>
      <c r="F770" s="0" t="s">
        <v>1501</v>
      </c>
      <c r="G770" s="0" t="s">
        <v>1501</v>
      </c>
      <c r="H770" s="3">
        <v>31</v>
      </c>
    </row>
    <row r="771">
      <c r="A771" s="0" t="s">
        <v>1502</v>
      </c>
      <c r="B771" s="0" t="s">
        <v>1503</v>
      </c>
      <c r="C771" s="5">
        <f>=HYPERLINK("https://nusmods.com/modules/DL5107#timetable","Timetable")</f>
      </c>
      <c r="D771" s="5"/>
      <c r="E771" s="5"/>
      <c r="F771" s="0" t="s">
        <v>1501</v>
      </c>
      <c r="G771" s="0" t="s">
        <v>1501</v>
      </c>
      <c r="H771" s="3">
        <v>20</v>
      </c>
    </row>
    <row r="772">
      <c r="A772" s="0" t="s">
        <v>1504</v>
      </c>
      <c r="B772" s="0" t="s">
        <v>1505</v>
      </c>
      <c r="C772" s="5">
        <f>=HYPERLINK("https://nusmods.com/modules/DL5202#timetable","Timetable")</f>
      </c>
      <c r="D772" s="5"/>
      <c r="E772" s="5">
        <f>=HYPERLINK("https://luminus.nus.edu.sg/modules/f01c4db4-6a8f-4876-bdb3-2b82af176d06","LumiNUS course site")</f>
      </c>
      <c r="F772" s="0" t="s">
        <v>1501</v>
      </c>
      <c r="G772" s="0" t="s">
        <v>1501</v>
      </c>
      <c r="H772" s="3">
        <v>21</v>
      </c>
    </row>
    <row r="773">
      <c r="A773" s="0" t="s">
        <v>1506</v>
      </c>
      <c r="B773" s="0" t="s">
        <v>1507</v>
      </c>
      <c r="C773" s="5">
        <f>=HYPERLINK("https://nusmods.com/modules/DL5301#timetable","Timetable")</f>
      </c>
      <c r="D773" s="5"/>
      <c r="E773" s="5">
        <f>=HYPERLINK("https://luminus.nus.edu.sg/modules/deda590a-c88e-46ec-8142-d3faf4ee2c20","LumiNUS course site")</f>
      </c>
      <c r="F773" s="0" t="s">
        <v>1501</v>
      </c>
      <c r="G773" s="0" t="s">
        <v>1501</v>
      </c>
      <c r="H773" s="3">
        <v>19</v>
      </c>
    </row>
    <row r="774">
      <c r="A774" s="0" t="s">
        <v>1508</v>
      </c>
      <c r="B774" s="0" t="s">
        <v>1509</v>
      </c>
      <c r="C774" s="5">
        <f>=HYPERLINK("https://nusmods.com/modules/DL5303#timetable","Timetable")</f>
      </c>
      <c r="D774" s="5"/>
      <c r="E774" s="5">
        <f>=HYPERLINK("https://luminus.nus.edu.sg/modules/e63fa420-1cfe-4f9e-93d1-e92444173bb0","LumiNUS course site")</f>
      </c>
      <c r="F774" s="0" t="s">
        <v>1501</v>
      </c>
      <c r="G774" s="0" t="s">
        <v>1501</v>
      </c>
      <c r="H774" s="3">
        <v>20</v>
      </c>
    </row>
    <row r="775">
      <c r="A775" s="0" t="s">
        <v>1510</v>
      </c>
      <c r="B775" s="0" t="s">
        <v>1511</v>
      </c>
      <c r="C775" s="5">
        <f>=HYPERLINK("https://nusmods.com/modules/DMA1401L01#timetable","Timetable")</f>
      </c>
      <c r="D775" s="5">
        <f>=HYPERLINK("https://canvas.nus.edu.sg/courses/22426","Canvas course site")</f>
      </c>
      <c r="E775" s="5">
        <f>=HYPERLINK("https://luminus.nus.edu.sg/modules/29ebb286-b8ca-4ef0-a3b9-9d73b460e77d","LumiNUS course site")</f>
      </c>
      <c r="F775" s="0" t="s">
        <v>73</v>
      </c>
      <c r="G775" s="0" t="s">
        <v>1512</v>
      </c>
      <c r="H775" s="3">
        <v>17</v>
      </c>
    </row>
    <row r="776">
      <c r="A776" s="0" t="s">
        <v>1513</v>
      </c>
      <c r="B776" s="0" t="s">
        <v>1511</v>
      </c>
      <c r="C776" s="5">
        <f>=HYPERLINK("https://nusmods.com/modules/DMA1401PH#timetable","Timetable")</f>
      </c>
      <c r="D776" s="5"/>
      <c r="E776" s="5">
        <f>=HYPERLINK("https://luminus.nus.edu.sg/modules/b9019d82-515a-4a89-adc9-af33530f2a52","LumiNUS course site")</f>
      </c>
      <c r="F776" s="0" t="s">
        <v>73</v>
      </c>
      <c r="G776" s="0" t="s">
        <v>1514</v>
      </c>
      <c r="H776" s="3">
        <v>12</v>
      </c>
    </row>
    <row r="777">
      <c r="A777" s="0" t="s">
        <v>1515</v>
      </c>
      <c r="B777" s="0" t="s">
        <v>1511</v>
      </c>
      <c r="C777" s="5">
        <f>=HYPERLINK("https://nusmods.com/modules/DMB1201BSP#timetable","Timetable")</f>
      </c>
      <c r="D777" s="5"/>
      <c r="E777" s="5"/>
      <c r="F777" s="0" t="s">
        <v>28</v>
      </c>
      <c r="G777" s="0" t="s">
        <v>225</v>
      </c>
      <c r="H777" s="3">
        <v>32</v>
      </c>
    </row>
    <row r="778">
      <c r="A778" s="0" t="s">
        <v>1516</v>
      </c>
      <c r="B778" s="0" t="s">
        <v>1511</v>
      </c>
      <c r="C778" s="5">
        <f>=HYPERLINK("https://nusmods.com/modules/DMB1201DAO#timetable","Timetable")</f>
      </c>
      <c r="D778" s="5"/>
      <c r="E778" s="5">
        <f>=HYPERLINK("https://luminus.nus.edu.sg/modules/2deddfea-0749-4a9d-a4c7-29123762ab82","LumiNUS course site")</f>
      </c>
      <c r="F778" s="0" t="s">
        <v>28</v>
      </c>
      <c r="G778" s="0" t="s">
        <v>228</v>
      </c>
      <c r="H778" s="3">
        <v>31</v>
      </c>
    </row>
    <row r="779">
      <c r="A779" s="0" t="s">
        <v>1517</v>
      </c>
      <c r="B779" s="0" t="s">
        <v>1511</v>
      </c>
      <c r="C779" s="5">
        <f>=HYPERLINK("https://nusmods.com/modules/DMB1201DO#timetable","Timetable")</f>
      </c>
      <c r="D779" s="5"/>
      <c r="E779" s="5"/>
      <c r="F779" s="0" t="s">
        <v>28</v>
      </c>
      <c r="G779" s="0" t="s">
        <v>233</v>
      </c>
      <c r="H779" s="3">
        <v>0</v>
      </c>
    </row>
    <row r="780">
      <c r="A780" s="0" t="s">
        <v>1518</v>
      </c>
      <c r="B780" s="0" t="s">
        <v>1511</v>
      </c>
      <c r="C780" s="5">
        <f>=HYPERLINK("https://nusmods.com/modules/DMB1201FIN#timetable","Timetable")</f>
      </c>
      <c r="D780" s="5"/>
      <c r="E780" s="5"/>
      <c r="F780" s="0" t="s">
        <v>28</v>
      </c>
      <c r="G780" s="0" t="s">
        <v>233</v>
      </c>
      <c r="H780" s="3">
        <v>0</v>
      </c>
    </row>
    <row r="781">
      <c r="A781" s="0" t="s">
        <v>1519</v>
      </c>
      <c r="B781" s="0" t="s">
        <v>1511</v>
      </c>
      <c r="C781" s="5">
        <f>=HYPERLINK("https://nusmods.com/modules/DMB1201MKT#timetable","Timetable")</f>
      </c>
      <c r="D781" s="5"/>
      <c r="E781" s="5"/>
      <c r="F781" s="0" t="s">
        <v>28</v>
      </c>
      <c r="G781" s="0" t="s">
        <v>233</v>
      </c>
      <c r="H781" s="3">
        <v>0</v>
      </c>
    </row>
    <row r="782">
      <c r="A782" s="0" t="s">
        <v>1520</v>
      </c>
      <c r="B782" s="0" t="s">
        <v>1511</v>
      </c>
      <c r="C782" s="5">
        <f>=HYPERLINK("https://nusmods.com/modules/DMB1201MNO#timetable","Timetable")</f>
      </c>
      <c r="D782" s="5"/>
      <c r="E782" s="5"/>
      <c r="F782" s="0" t="s">
        <v>28</v>
      </c>
      <c r="G782" s="0" t="s">
        <v>233</v>
      </c>
      <c r="H782" s="3">
        <v>0</v>
      </c>
    </row>
    <row r="783">
      <c r="A783" s="0" t="s">
        <v>1521</v>
      </c>
      <c r="B783" s="0" t="s">
        <v>1511</v>
      </c>
      <c r="C783" s="5">
        <f>=HYPERLINK("https://nusmods.com/modules/DMB1202ACC#timetable","Timetable")</f>
      </c>
      <c r="D783" s="5"/>
      <c r="E783" s="5"/>
      <c r="F783" s="0" t="s">
        <v>28</v>
      </c>
      <c r="G783" s="0" t="s">
        <v>233</v>
      </c>
      <c r="H783" s="3">
        <v>0</v>
      </c>
    </row>
    <row r="784">
      <c r="A784" s="0" t="s">
        <v>1522</v>
      </c>
      <c r="B784" s="0" t="s">
        <v>1511</v>
      </c>
      <c r="C784" s="5">
        <f>=HYPERLINK("https://nusmods.com/modules/DMB1202BSP#timetable","Timetable")</f>
      </c>
      <c r="D784" s="5"/>
      <c r="E784" s="5">
        <f>=HYPERLINK("https://luminus.nus.edu.sg/modules/f2ef7106-ec05-4fc7-bfa7-6ba3b028c73d","LumiNUS course site")</f>
      </c>
      <c r="F784" s="0" t="s">
        <v>28</v>
      </c>
      <c r="G784" s="0" t="s">
        <v>233</v>
      </c>
      <c r="H784" s="3">
        <v>0</v>
      </c>
    </row>
    <row r="785">
      <c r="A785" s="0" t="s">
        <v>1523</v>
      </c>
      <c r="B785" s="0" t="s">
        <v>1511</v>
      </c>
      <c r="C785" s="5">
        <f>=HYPERLINK("https://nusmods.com/modules/DMB1202DAO#timetable","Timetable")</f>
      </c>
      <c r="D785" s="5"/>
      <c r="E785" s="5"/>
      <c r="F785" s="0" t="s">
        <v>28</v>
      </c>
      <c r="G785" s="0" t="s">
        <v>228</v>
      </c>
      <c r="H785" s="3">
        <v>0</v>
      </c>
    </row>
    <row r="786">
      <c r="A786" s="0" t="s">
        <v>1524</v>
      </c>
      <c r="B786" s="0" t="s">
        <v>1511</v>
      </c>
      <c r="C786" s="5">
        <f>=HYPERLINK("https://nusmods.com/modules/DMB1202DO#timetable","Timetable")</f>
      </c>
      <c r="D786" s="5"/>
      <c r="E786" s="5"/>
      <c r="F786" s="0" t="s">
        <v>28</v>
      </c>
      <c r="G786" s="0" t="s">
        <v>233</v>
      </c>
      <c r="H786" s="3">
        <v>0</v>
      </c>
    </row>
    <row r="787">
      <c r="A787" s="0" t="s">
        <v>1525</v>
      </c>
      <c r="B787" s="0" t="s">
        <v>1511</v>
      </c>
      <c r="C787" s="5">
        <f>=HYPERLINK("https://nusmods.com/modules/DMB1202FIN#timetable","Timetable")</f>
      </c>
      <c r="D787" s="5"/>
      <c r="E787" s="5"/>
      <c r="F787" s="0" t="s">
        <v>28</v>
      </c>
      <c r="G787" s="0" t="s">
        <v>233</v>
      </c>
      <c r="H787" s="3">
        <v>0</v>
      </c>
    </row>
    <row r="788">
      <c r="A788" s="0" t="s">
        <v>1526</v>
      </c>
      <c r="B788" s="0" t="s">
        <v>1511</v>
      </c>
      <c r="C788" s="5">
        <f>=HYPERLINK("https://nusmods.com/modules/DMB1202MKT#timetable","Timetable")</f>
      </c>
      <c r="D788" s="5"/>
      <c r="E788" s="5"/>
      <c r="F788" s="0" t="s">
        <v>28</v>
      </c>
      <c r="G788" s="0" t="s">
        <v>233</v>
      </c>
      <c r="H788" s="3">
        <v>0</v>
      </c>
    </row>
    <row r="789">
      <c r="A789" s="0" t="s">
        <v>1527</v>
      </c>
      <c r="B789" s="0" t="s">
        <v>1511</v>
      </c>
      <c r="C789" s="5">
        <f>=HYPERLINK("https://nusmods.com/modules/DMB1202MNO#timetable","Timetable")</f>
      </c>
      <c r="D789" s="5"/>
      <c r="E789" s="5"/>
      <c r="F789" s="0" t="s">
        <v>28</v>
      </c>
      <c r="G789" s="0" t="s">
        <v>233</v>
      </c>
      <c r="H789" s="3">
        <v>0</v>
      </c>
    </row>
    <row r="790">
      <c r="A790" s="0" t="s">
        <v>1528</v>
      </c>
      <c r="B790" s="0" t="s">
        <v>1511</v>
      </c>
      <c r="C790" s="5">
        <f>=HYPERLINK("https://nusmods.com/modules/DMC1401#timetable","Timetable")</f>
      </c>
      <c r="D790" s="5"/>
      <c r="E790" s="5"/>
      <c r="F790" s="0" t="s">
        <v>724</v>
      </c>
      <c r="G790" s="0" t="s">
        <v>1233</v>
      </c>
      <c r="H790" s="3">
        <v>0</v>
      </c>
    </row>
    <row r="791">
      <c r="A791" s="0" t="s">
        <v>1529</v>
      </c>
      <c r="B791" s="0" t="s">
        <v>1511</v>
      </c>
      <c r="C791" s="5">
        <f>=HYPERLINK("https://nusmods.com/modules/DMC1401CS#timetable","Timetable")</f>
      </c>
      <c r="D791" s="5"/>
      <c r="E791" s="5"/>
      <c r="F791" s="0" t="s">
        <v>724</v>
      </c>
      <c r="G791" s="0" t="s">
        <v>762</v>
      </c>
      <c r="H791" s="3">
        <v>0</v>
      </c>
    </row>
    <row r="792">
      <c r="A792" s="0" t="s">
        <v>1530</v>
      </c>
      <c r="B792" s="0" t="s">
        <v>1511</v>
      </c>
      <c r="C792" s="5">
        <f>=HYPERLINK("https://nusmods.com/modules/DMC1401IS#timetable","Timetable")</f>
      </c>
      <c r="D792" s="5"/>
      <c r="E792" s="5"/>
      <c r="F792" s="0" t="s">
        <v>724</v>
      </c>
      <c r="G792" s="0" t="s">
        <v>725</v>
      </c>
      <c r="H792" s="3">
        <v>0</v>
      </c>
    </row>
    <row r="793">
      <c r="A793" s="0" t="s">
        <v>1531</v>
      </c>
      <c r="B793" s="0" t="s">
        <v>1511</v>
      </c>
      <c r="C793" s="5">
        <f>=HYPERLINK("https://nusmods.com/modules/DMR1201GEQA#timetable","Timetable")</f>
      </c>
      <c r="D793" s="5"/>
      <c r="E793" s="5"/>
      <c r="F793" s="0" t="s">
        <v>1532</v>
      </c>
      <c r="G793" s="0" t="s">
        <v>1533</v>
      </c>
      <c r="H793" s="3">
        <v>0</v>
      </c>
    </row>
    <row r="794">
      <c r="A794" s="0" t="s">
        <v>1534</v>
      </c>
      <c r="B794" s="0" t="s">
        <v>1511</v>
      </c>
      <c r="C794" s="5">
        <f>=HYPERLINK("https://nusmods.com/modules/DMS1401CM#timetable","Timetable")</f>
      </c>
      <c r="D794" s="5"/>
      <c r="E794" s="5"/>
      <c r="F794" s="0" t="s">
        <v>266</v>
      </c>
      <c r="G794" s="0" t="s">
        <v>1053</v>
      </c>
      <c r="H794" s="3">
        <v>0</v>
      </c>
    </row>
    <row r="795">
      <c r="A795" s="0" t="s">
        <v>1535</v>
      </c>
      <c r="B795" s="0" t="s">
        <v>1511</v>
      </c>
      <c r="C795" s="5">
        <f>=HYPERLINK("https://nusmods.com/modules/DMS1401SP#timetable","Timetable")</f>
      </c>
      <c r="D795" s="5"/>
      <c r="E795" s="5"/>
      <c r="F795" s="0" t="s">
        <v>266</v>
      </c>
      <c r="G795" s="0" t="s">
        <v>1536</v>
      </c>
      <c r="H795" s="3">
        <v>5</v>
      </c>
    </row>
    <row r="796">
      <c r="A796" s="0" t="s">
        <v>1537</v>
      </c>
      <c r="B796" s="0" t="s">
        <v>1538</v>
      </c>
      <c r="C796" s="5">
        <f>=HYPERLINK("https://nusmods.com/modules/DMX1101#timetable","Timetable")</f>
      </c>
      <c r="D796" s="5"/>
      <c r="E796" s="5"/>
      <c r="F796" s="0" t="s">
        <v>926</v>
      </c>
      <c r="G796" s="0" t="s">
        <v>927</v>
      </c>
      <c r="H796" s="3">
        <v>137</v>
      </c>
    </row>
    <row r="797">
      <c r="A797" s="0" t="s">
        <v>1539</v>
      </c>
      <c r="B797" s="0" t="s">
        <v>1511</v>
      </c>
      <c r="C797" s="5">
        <f>=HYPERLINK("https://nusmods.com/modules/DMX1101AI#timetable","Timetable")</f>
      </c>
      <c r="D797" s="5"/>
      <c r="E797" s="5"/>
      <c r="F797" s="0" t="s">
        <v>926</v>
      </c>
      <c r="G797" s="0" t="s">
        <v>927</v>
      </c>
      <c r="H797" s="3">
        <v>0</v>
      </c>
    </row>
    <row r="798">
      <c r="A798" s="0" t="s">
        <v>1540</v>
      </c>
      <c r="B798" s="0" t="s">
        <v>1511</v>
      </c>
      <c r="C798" s="5">
        <f>=HYPERLINK("https://nusmods.com/modules/DMX1101CT#timetable","Timetable")</f>
      </c>
      <c r="D798" s="5"/>
      <c r="E798" s="5"/>
      <c r="F798" s="0" t="s">
        <v>926</v>
      </c>
      <c r="G798" s="0" t="s">
        <v>927</v>
      </c>
      <c r="H798" s="3">
        <v>0</v>
      </c>
    </row>
    <row r="799">
      <c r="A799" s="0" t="s">
        <v>1541</v>
      </c>
      <c r="B799" s="0" t="s">
        <v>1538</v>
      </c>
      <c r="C799" s="5">
        <f>=HYPERLINK("https://nusmods.com/modules/DMX1102#timetable","Timetable")</f>
      </c>
      <c r="D799" s="5"/>
      <c r="E799" s="5"/>
      <c r="F799" s="0" t="s">
        <v>926</v>
      </c>
      <c r="G799" s="0" t="s">
        <v>927</v>
      </c>
      <c r="H799" s="3">
        <v>77</v>
      </c>
    </row>
    <row r="800">
      <c r="A800" s="0" t="s">
        <v>1542</v>
      </c>
      <c r="B800" s="0" t="s">
        <v>1538</v>
      </c>
      <c r="C800" s="5">
        <f>=HYPERLINK("https://nusmods.com/modules/DMX1103#timetable","Timetable")</f>
      </c>
      <c r="D800" s="5"/>
      <c r="E800" s="5"/>
      <c r="F800" s="0" t="s">
        <v>926</v>
      </c>
      <c r="G800" s="0" t="s">
        <v>927</v>
      </c>
      <c r="H800" s="3">
        <v>36</v>
      </c>
    </row>
    <row r="801">
      <c r="A801" s="0" t="s">
        <v>1543</v>
      </c>
      <c r="B801" s="0" t="s">
        <v>1538</v>
      </c>
      <c r="C801" s="5">
        <f>=HYPERLINK("https://nusmods.com/modules/DMX1104#timetable","Timetable")</f>
      </c>
      <c r="D801" s="5"/>
      <c r="E801" s="5"/>
      <c r="F801" s="0" t="s">
        <v>926</v>
      </c>
      <c r="G801" s="0" t="s">
        <v>927</v>
      </c>
      <c r="H801" s="3">
        <v>21</v>
      </c>
    </row>
    <row r="802">
      <c r="A802" s="0" t="s">
        <v>1544</v>
      </c>
      <c r="B802" s="0" t="s">
        <v>1538</v>
      </c>
      <c r="C802" s="5">
        <f>=HYPERLINK("https://nusmods.com/modules/DMX1105#timetable","Timetable")</f>
      </c>
      <c r="D802" s="5"/>
      <c r="E802" s="5"/>
      <c r="F802" s="0" t="s">
        <v>926</v>
      </c>
      <c r="G802" s="0" t="s">
        <v>927</v>
      </c>
      <c r="H802" s="3">
        <v>9</v>
      </c>
    </row>
    <row r="803">
      <c r="A803" s="0" t="s">
        <v>1545</v>
      </c>
      <c r="B803" s="0" t="s">
        <v>1538</v>
      </c>
      <c r="C803" s="5">
        <f>=HYPERLINK("https://nusmods.com/modules/DMX1106#timetable","Timetable")</f>
      </c>
      <c r="D803" s="5"/>
      <c r="E803" s="5"/>
      <c r="F803" s="0" t="s">
        <v>926</v>
      </c>
      <c r="G803" s="0" t="s">
        <v>927</v>
      </c>
      <c r="H803" s="3">
        <v>8</v>
      </c>
    </row>
    <row r="804">
      <c r="A804" s="0" t="s">
        <v>1546</v>
      </c>
      <c r="B804" s="0" t="s">
        <v>1538</v>
      </c>
      <c r="C804" s="5">
        <f>=HYPERLINK("https://nusmods.com/modules/DMX1107#timetable","Timetable")</f>
      </c>
      <c r="D804" s="5"/>
      <c r="E804" s="5"/>
      <c r="F804" s="0" t="s">
        <v>926</v>
      </c>
      <c r="G804" s="0" t="s">
        <v>927</v>
      </c>
      <c r="H804" s="3">
        <v>2</v>
      </c>
    </row>
    <row r="805">
      <c r="A805" s="0" t="s">
        <v>1547</v>
      </c>
      <c r="B805" s="0" t="s">
        <v>1538</v>
      </c>
      <c r="C805" s="5">
        <f>=HYPERLINK("https://nusmods.com/modules/DMX1108#timetable","Timetable")</f>
      </c>
      <c r="D805" s="5"/>
      <c r="E805" s="5"/>
      <c r="F805" s="0" t="s">
        <v>926</v>
      </c>
      <c r="G805" s="0" t="s">
        <v>927</v>
      </c>
      <c r="H805" s="3">
        <v>0</v>
      </c>
    </row>
    <row r="806">
      <c r="A806" s="0" t="s">
        <v>1548</v>
      </c>
      <c r="B806" s="0" t="s">
        <v>1538</v>
      </c>
      <c r="C806" s="5">
        <f>=HYPERLINK("https://nusmods.com/modules/DMX1201#timetable","Timetable")</f>
      </c>
      <c r="D806" s="5"/>
      <c r="E806" s="5"/>
      <c r="F806" s="0" t="s">
        <v>926</v>
      </c>
      <c r="G806" s="0" t="s">
        <v>927</v>
      </c>
      <c r="H806" s="3">
        <v>203</v>
      </c>
    </row>
    <row r="807">
      <c r="A807" s="0" t="s">
        <v>1549</v>
      </c>
      <c r="B807" s="0" t="s">
        <v>1511</v>
      </c>
      <c r="C807" s="5">
        <f>=HYPERLINK("https://nusmods.com/modules/DMX1201AI#timetable","Timetable")</f>
      </c>
      <c r="D807" s="5"/>
      <c r="E807" s="5"/>
      <c r="F807" s="0" t="s">
        <v>926</v>
      </c>
      <c r="G807" s="0" t="s">
        <v>927</v>
      </c>
      <c r="H807" s="3">
        <v>0</v>
      </c>
    </row>
    <row r="808">
      <c r="A808" s="0" t="s">
        <v>1550</v>
      </c>
      <c r="B808" s="0" t="s">
        <v>1511</v>
      </c>
      <c r="C808" s="5">
        <f>=HYPERLINK("https://nusmods.com/modules/DMX1201CT#timetable","Timetable")</f>
      </c>
      <c r="D808" s="5"/>
      <c r="E808" s="5"/>
      <c r="F808" s="0" t="s">
        <v>926</v>
      </c>
      <c r="G808" s="0" t="s">
        <v>927</v>
      </c>
      <c r="H808" s="3">
        <v>0</v>
      </c>
    </row>
    <row r="809">
      <c r="A809" s="0" t="s">
        <v>1551</v>
      </c>
      <c r="B809" s="0" t="s">
        <v>1538</v>
      </c>
      <c r="C809" s="5">
        <f>=HYPERLINK("https://nusmods.com/modules/DMX1202#timetable","Timetable")</f>
      </c>
      <c r="D809" s="5"/>
      <c r="E809" s="5"/>
      <c r="F809" s="0" t="s">
        <v>926</v>
      </c>
      <c r="G809" s="0" t="s">
        <v>927</v>
      </c>
      <c r="H809" s="3">
        <v>93</v>
      </c>
    </row>
    <row r="810">
      <c r="A810" s="0" t="s">
        <v>1552</v>
      </c>
      <c r="B810" s="0" t="s">
        <v>1538</v>
      </c>
      <c r="C810" s="5">
        <f>=HYPERLINK("https://nusmods.com/modules/DMX1203#timetable","Timetable")</f>
      </c>
      <c r="D810" s="5"/>
      <c r="E810" s="5"/>
      <c r="F810" s="0" t="s">
        <v>926</v>
      </c>
      <c r="G810" s="0" t="s">
        <v>927</v>
      </c>
      <c r="H810" s="3">
        <v>35</v>
      </c>
    </row>
    <row r="811">
      <c r="A811" s="0" t="s">
        <v>1553</v>
      </c>
      <c r="B811" s="0" t="s">
        <v>1538</v>
      </c>
      <c r="C811" s="5">
        <f>=HYPERLINK("https://nusmods.com/modules/DMX1204#timetable","Timetable")</f>
      </c>
      <c r="D811" s="5"/>
      <c r="E811" s="5"/>
      <c r="F811" s="0" t="s">
        <v>926</v>
      </c>
      <c r="G811" s="0" t="s">
        <v>927</v>
      </c>
      <c r="H811" s="3">
        <v>11</v>
      </c>
    </row>
    <row r="812">
      <c r="A812" s="0" t="s">
        <v>1554</v>
      </c>
      <c r="B812" s="0" t="s">
        <v>1538</v>
      </c>
      <c r="C812" s="5">
        <f>=HYPERLINK("https://nusmods.com/modules/DMX1301#timetable","Timetable")</f>
      </c>
      <c r="D812" s="5"/>
      <c r="E812" s="5"/>
      <c r="F812" s="0" t="s">
        <v>926</v>
      </c>
      <c r="G812" s="0" t="s">
        <v>927</v>
      </c>
      <c r="H812" s="3">
        <v>76</v>
      </c>
    </row>
    <row r="813">
      <c r="A813" s="0" t="s">
        <v>1555</v>
      </c>
      <c r="B813" s="0" t="s">
        <v>1511</v>
      </c>
      <c r="C813" s="5">
        <f>=HYPERLINK("https://nusmods.com/modules/DMX1301AI#timetable","Timetable")</f>
      </c>
      <c r="D813" s="5"/>
      <c r="E813" s="5"/>
      <c r="F813" s="0" t="s">
        <v>926</v>
      </c>
      <c r="G813" s="0" t="s">
        <v>927</v>
      </c>
      <c r="H813" s="3">
        <v>0</v>
      </c>
    </row>
    <row r="814">
      <c r="A814" s="0" t="s">
        <v>1556</v>
      </c>
      <c r="B814" s="0" t="s">
        <v>1511</v>
      </c>
      <c r="C814" s="5">
        <f>=HYPERLINK("https://nusmods.com/modules/DMX1301CT#timetable","Timetable")</f>
      </c>
      <c r="D814" s="5"/>
      <c r="E814" s="5"/>
      <c r="F814" s="0" t="s">
        <v>926</v>
      </c>
      <c r="G814" s="0" t="s">
        <v>927</v>
      </c>
      <c r="H814" s="3">
        <v>0</v>
      </c>
    </row>
    <row r="815">
      <c r="A815" s="0" t="s">
        <v>1557</v>
      </c>
      <c r="B815" s="0" t="s">
        <v>1538</v>
      </c>
      <c r="C815" s="5">
        <f>=HYPERLINK("https://nusmods.com/modules/DMX1302#timetable","Timetable")</f>
      </c>
      <c r="D815" s="5"/>
      <c r="E815" s="5"/>
      <c r="F815" s="0" t="s">
        <v>926</v>
      </c>
      <c r="G815" s="0" t="s">
        <v>927</v>
      </c>
      <c r="H815" s="3">
        <v>23</v>
      </c>
    </row>
    <row r="816">
      <c r="A816" s="0" t="s">
        <v>1558</v>
      </c>
      <c r="B816" s="0" t="s">
        <v>1538</v>
      </c>
      <c r="C816" s="5">
        <f>=HYPERLINK("https://nusmods.com/modules/DMX1401#timetable","Timetable")</f>
      </c>
      <c r="D816" s="5"/>
      <c r="E816" s="5"/>
      <c r="F816" s="0" t="s">
        <v>926</v>
      </c>
      <c r="G816" s="0" t="s">
        <v>927</v>
      </c>
      <c r="H816" s="3">
        <v>53</v>
      </c>
    </row>
    <row r="817">
      <c r="A817" s="0" t="s">
        <v>1559</v>
      </c>
      <c r="B817" s="0" t="s">
        <v>1511</v>
      </c>
      <c r="C817" s="5">
        <f>=HYPERLINK("https://nusmods.com/modules/DMX1401AI#timetable","Timetable")</f>
      </c>
      <c r="D817" s="5"/>
      <c r="E817" s="5"/>
      <c r="F817" s="0" t="s">
        <v>926</v>
      </c>
      <c r="G817" s="0" t="s">
        <v>927</v>
      </c>
      <c r="H817" s="3">
        <v>0</v>
      </c>
    </row>
    <row r="818">
      <c r="A818" s="0" t="s">
        <v>1560</v>
      </c>
      <c r="B818" s="0" t="s">
        <v>1511</v>
      </c>
      <c r="C818" s="5">
        <f>=HYPERLINK("https://nusmods.com/modules/DMX1401CT#timetable","Timetable")</f>
      </c>
      <c r="D818" s="5"/>
      <c r="E818" s="5"/>
      <c r="F818" s="0" t="s">
        <v>926</v>
      </c>
      <c r="G818" s="0" t="s">
        <v>927</v>
      </c>
      <c r="H818" s="3">
        <v>0</v>
      </c>
    </row>
    <row r="819">
      <c r="A819" s="0" t="s">
        <v>1561</v>
      </c>
      <c r="B819" s="0" t="s">
        <v>1538</v>
      </c>
      <c r="C819" s="5">
        <f>=HYPERLINK("https://nusmods.com/modules/DMX1402#timetable","Timetable")</f>
      </c>
      <c r="D819" s="5"/>
      <c r="E819" s="5"/>
      <c r="F819" s="0" t="s">
        <v>926</v>
      </c>
      <c r="G819" s="0" t="s">
        <v>927</v>
      </c>
      <c r="H819" s="3">
        <v>6</v>
      </c>
    </row>
    <row r="820">
      <c r="A820" s="0" t="s">
        <v>1562</v>
      </c>
      <c r="B820" s="0" t="s">
        <v>1538</v>
      </c>
      <c r="C820" s="5">
        <f>=HYPERLINK("https://nusmods.com/modules/DMX1501#timetable","Timetable")</f>
      </c>
      <c r="D820" s="5"/>
      <c r="E820" s="5"/>
      <c r="F820" s="0" t="s">
        <v>926</v>
      </c>
      <c r="G820" s="0" t="s">
        <v>927</v>
      </c>
      <c r="H820" s="3">
        <v>20</v>
      </c>
    </row>
    <row r="821">
      <c r="A821" s="0" t="s">
        <v>1563</v>
      </c>
      <c r="B821" s="0" t="s">
        <v>1538</v>
      </c>
      <c r="C821" s="5">
        <f>=HYPERLINK("https://nusmods.com/modules/DMX1501AI#timetable","Timetable")</f>
      </c>
      <c r="D821" s="5"/>
      <c r="E821" s="5"/>
      <c r="F821" s="0" t="s">
        <v>926</v>
      </c>
      <c r="G821" s="0" t="s">
        <v>927</v>
      </c>
      <c r="H821" s="3">
        <v>48</v>
      </c>
    </row>
    <row r="822">
      <c r="A822" s="0" t="s">
        <v>1564</v>
      </c>
      <c r="B822" s="0" t="s">
        <v>1538</v>
      </c>
      <c r="C822" s="5">
        <f>=HYPERLINK("https://nusmods.com/modules/DMX1501CT#timetable","Timetable")</f>
      </c>
      <c r="D822" s="5"/>
      <c r="E822" s="5"/>
      <c r="F822" s="0" t="s">
        <v>926</v>
      </c>
      <c r="G822" s="0" t="s">
        <v>927</v>
      </c>
      <c r="H822" s="3">
        <v>11</v>
      </c>
    </row>
    <row r="823">
      <c r="A823" s="0" t="s">
        <v>1565</v>
      </c>
      <c r="B823" s="0" t="s">
        <v>1538</v>
      </c>
      <c r="C823" s="5">
        <f>=HYPERLINK("https://nusmods.com/modules/DMX1601#timetable","Timetable")</f>
      </c>
      <c r="D823" s="5"/>
      <c r="E823" s="5"/>
      <c r="F823" s="0" t="s">
        <v>926</v>
      </c>
      <c r="G823" s="0" t="s">
        <v>927</v>
      </c>
      <c r="H823" s="3">
        <v>1</v>
      </c>
    </row>
    <row r="824">
      <c r="A824" s="0" t="s">
        <v>1566</v>
      </c>
      <c r="B824" s="0" t="s">
        <v>1538</v>
      </c>
      <c r="C824" s="5">
        <f>=HYPERLINK("https://nusmods.com/modules/DMX1701#timetable","Timetable")</f>
      </c>
      <c r="D824" s="5"/>
      <c r="E824" s="5"/>
      <c r="F824" s="0" t="s">
        <v>926</v>
      </c>
      <c r="G824" s="0" t="s">
        <v>927</v>
      </c>
      <c r="H824" s="3">
        <v>0</v>
      </c>
    </row>
    <row r="825">
      <c r="A825" s="0" t="s">
        <v>1567</v>
      </c>
      <c r="B825" s="0" t="s">
        <v>1538</v>
      </c>
      <c r="C825" s="5">
        <f>=HYPERLINK("https://nusmods.com/modules/DMX1801#timetable","Timetable")</f>
      </c>
      <c r="D825" s="5"/>
      <c r="E825" s="5"/>
      <c r="F825" s="0" t="s">
        <v>926</v>
      </c>
      <c r="G825" s="0" t="s">
        <v>927</v>
      </c>
      <c r="H825" s="3">
        <v>0</v>
      </c>
    </row>
    <row r="826">
      <c r="A826" s="0" t="s">
        <v>1568</v>
      </c>
      <c r="B826" s="0" t="s">
        <v>1511</v>
      </c>
      <c r="C826" s="5">
        <f>=HYPERLINK("https://nusmods.com/modules/DMY1201RF#timetable","Timetable")</f>
      </c>
      <c r="D826" s="5"/>
      <c r="E826" s="5"/>
      <c r="F826" s="0" t="s">
        <v>926</v>
      </c>
      <c r="G826" s="0" t="s">
        <v>1569</v>
      </c>
      <c r="H826" s="3">
        <v>0</v>
      </c>
    </row>
    <row r="827">
      <c r="A827" s="0" t="s">
        <v>1570</v>
      </c>
      <c r="B827" s="0" t="s">
        <v>1511</v>
      </c>
      <c r="C827" s="5">
        <f>=HYPERLINK("https://nusmods.com/modules/DMY1401EH#timetable","Timetable")</f>
      </c>
      <c r="D827" s="5"/>
      <c r="E827" s="5"/>
      <c r="F827" s="0" t="s">
        <v>926</v>
      </c>
      <c r="G827" s="0" t="s">
        <v>1571</v>
      </c>
      <c r="H827" s="3">
        <v>0</v>
      </c>
    </row>
    <row r="828">
      <c r="A828" s="0" t="s">
        <v>1572</v>
      </c>
      <c r="B828" s="0" t="s">
        <v>1511</v>
      </c>
      <c r="C828" s="5">
        <f>=HYPERLINK("https://nusmods.com/modules/DMY1401ELC#timetable","Timetable")</f>
      </c>
      <c r="D828" s="5"/>
      <c r="E828" s="5"/>
      <c r="F828" s="0" t="s">
        <v>926</v>
      </c>
      <c r="G828" s="0" t="s">
        <v>1573</v>
      </c>
      <c r="H828" s="3">
        <v>0</v>
      </c>
    </row>
    <row r="829">
      <c r="A829" s="0" t="s">
        <v>1574</v>
      </c>
      <c r="B829" s="0" t="s">
        <v>1511</v>
      </c>
      <c r="C829" s="5">
        <f>=HYPERLINK("https://nusmods.com/modules/DMY1401FA#timetable","Timetable")</f>
      </c>
      <c r="D829" s="5"/>
      <c r="E829" s="5"/>
      <c r="F829" s="0" t="s">
        <v>926</v>
      </c>
      <c r="G829" s="0" t="s">
        <v>1575</v>
      </c>
      <c r="H829" s="3">
        <v>34</v>
      </c>
    </row>
    <row r="830">
      <c r="A830" s="0" t="s">
        <v>1576</v>
      </c>
      <c r="B830" s="0" t="s">
        <v>1511</v>
      </c>
      <c r="C830" s="5">
        <f>=HYPERLINK("https://nusmods.com/modules/DMY1401HL#timetable","Timetable")</f>
      </c>
      <c r="D830" s="5"/>
      <c r="E830" s="5"/>
      <c r="F830" s="0" t="s">
        <v>926</v>
      </c>
      <c r="G830" s="0" t="s">
        <v>1573</v>
      </c>
      <c r="H830" s="3">
        <v>0</v>
      </c>
    </row>
    <row r="831">
      <c r="A831" s="0" t="s">
        <v>1577</v>
      </c>
      <c r="B831" s="0" t="s">
        <v>1511</v>
      </c>
      <c r="C831" s="5">
        <f>=HYPERLINK("https://nusmods.com/modules/DMY1401LED#timetable","Timetable")</f>
      </c>
      <c r="D831" s="5"/>
      <c r="E831" s="5"/>
      <c r="F831" s="0" t="s">
        <v>926</v>
      </c>
      <c r="G831" s="0" t="s">
        <v>1573</v>
      </c>
      <c r="H831" s="3">
        <v>10</v>
      </c>
    </row>
    <row r="832">
      <c r="A832" s="0" t="s">
        <v>1578</v>
      </c>
      <c r="B832" s="0" t="s">
        <v>1511</v>
      </c>
      <c r="C832" s="5">
        <f>=HYPERLINK("https://nusmods.com/modules/DMY1401PGP#timetable","Timetable")</f>
      </c>
      <c r="D832" s="5"/>
      <c r="E832" s="5"/>
      <c r="F832" s="0" t="s">
        <v>926</v>
      </c>
      <c r="G832" s="0" t="s">
        <v>1579</v>
      </c>
      <c r="H832" s="3">
        <v>22</v>
      </c>
    </row>
    <row r="833">
      <c r="A833" s="0" t="s">
        <v>1580</v>
      </c>
      <c r="B833" s="0" t="s">
        <v>1511</v>
      </c>
      <c r="C833" s="5">
        <f>=HYPERLINK("https://nusmods.com/modules/DMY1401PSP#timetable","Timetable")</f>
      </c>
      <c r="D833" s="5"/>
      <c r="E833" s="5"/>
      <c r="F833" s="0" t="s">
        <v>926</v>
      </c>
      <c r="G833" s="0" t="s">
        <v>1573</v>
      </c>
      <c r="H833" s="3">
        <v>13</v>
      </c>
    </row>
    <row r="834">
      <c r="A834" s="0" t="s">
        <v>1581</v>
      </c>
      <c r="B834" s="0" t="s">
        <v>1511</v>
      </c>
      <c r="C834" s="5">
        <f>=HYPERLINK("https://nusmods.com/modules/DMY1401RF#timetable","Timetable")</f>
      </c>
      <c r="D834" s="5"/>
      <c r="E834" s="5"/>
      <c r="F834" s="0" t="s">
        <v>926</v>
      </c>
      <c r="G834" s="0" t="s">
        <v>1569</v>
      </c>
      <c r="H834" s="3">
        <v>0</v>
      </c>
    </row>
    <row r="835">
      <c r="A835" s="0" t="s">
        <v>1582</v>
      </c>
      <c r="B835" s="0" t="s">
        <v>1511</v>
      </c>
      <c r="C835" s="5">
        <f>=HYPERLINK("https://nusmods.com/modules/DMY1401SOG#timetable","Timetable")</f>
      </c>
      <c r="D835" s="5"/>
      <c r="E835" s="5"/>
      <c r="F835" s="0" t="s">
        <v>926</v>
      </c>
      <c r="G835" s="0" t="s">
        <v>1573</v>
      </c>
      <c r="H835" s="3">
        <v>0</v>
      </c>
    </row>
    <row r="836">
      <c r="A836" s="0" t="s">
        <v>1583</v>
      </c>
      <c r="B836" s="0" t="s">
        <v>1511</v>
      </c>
      <c r="C836" s="5">
        <f>=HYPERLINK("https://nusmods.com/modules/DMY1401TSG#timetable","Timetable")</f>
      </c>
      <c r="D836" s="5"/>
      <c r="E836" s="5"/>
      <c r="F836" s="0" t="s">
        <v>926</v>
      </c>
      <c r="G836" s="0" t="s">
        <v>1573</v>
      </c>
      <c r="H836" s="3">
        <v>0</v>
      </c>
    </row>
    <row r="837">
      <c r="A837" s="0" t="s">
        <v>1584</v>
      </c>
      <c r="B837" s="0" t="s">
        <v>1511</v>
      </c>
      <c r="C837" s="5">
        <f>=HYPERLINK("https://nusmods.com/modules/DMY1401TT#timetable","Timetable")</f>
      </c>
      <c r="D837" s="5"/>
      <c r="E837" s="5"/>
      <c r="F837" s="0" t="s">
        <v>926</v>
      </c>
      <c r="G837" s="0" t="s">
        <v>1585</v>
      </c>
      <c r="H837" s="3">
        <v>0</v>
      </c>
    </row>
    <row r="838">
      <c r="A838" s="0" t="s">
        <v>1586</v>
      </c>
      <c r="B838" s="0" t="s">
        <v>1587</v>
      </c>
      <c r="C838" s="5">
        <f>=HYPERLINK("https://nusmods.com/modules/DOS3701#timetable","Timetable")</f>
      </c>
      <c r="D838" s="5"/>
      <c r="E838" s="5">
        <f>=HYPERLINK("https://luminus.nus.edu.sg/modules/966b2740-ca43-4585-b636-4c2fb337f324","LumiNUS course site")</f>
      </c>
      <c r="F838" s="0" t="s">
        <v>28</v>
      </c>
      <c r="G838" s="0" t="s">
        <v>228</v>
      </c>
      <c r="H838" s="3">
        <v>52</v>
      </c>
    </row>
    <row r="839">
      <c r="A839" s="0" t="s">
        <v>1588</v>
      </c>
      <c r="B839" s="0" t="s">
        <v>1589</v>
      </c>
      <c r="C839" s="5">
        <f>=HYPERLINK("https://nusmods.com/modules/DOS3702#timetable","Timetable")</f>
      </c>
      <c r="D839" s="5">
        <f>=HYPERLINK("https://canvas.nus.edu.sg/courses/25491","Canvas course site")</f>
      </c>
      <c r="E839" s="5"/>
      <c r="F839" s="0" t="s">
        <v>28</v>
      </c>
      <c r="G839" s="0" t="s">
        <v>228</v>
      </c>
      <c r="H839" s="3">
        <v>14</v>
      </c>
    </row>
    <row r="840">
      <c r="A840" s="0" t="s">
        <v>1590</v>
      </c>
      <c r="B840" s="0" t="s">
        <v>1591</v>
      </c>
      <c r="C840" s="5">
        <f>=HYPERLINK("https://nusmods.com/modules/DOS3703#timetable","Timetable")</f>
      </c>
      <c r="D840" s="5"/>
      <c r="E840" s="5">
        <f>=HYPERLINK("https://luminus.nus.edu.sg/modules/d6bbc051-7273-43e6-8cc8-f7cb0b1fdead","LumiNUS course site")</f>
      </c>
      <c r="F840" s="0" t="s">
        <v>28</v>
      </c>
      <c r="G840" s="0" t="s">
        <v>228</v>
      </c>
      <c r="H840" s="3">
        <v>108</v>
      </c>
    </row>
    <row r="841">
      <c r="A841" s="0" t="s">
        <v>1592</v>
      </c>
      <c r="B841" s="0" t="s">
        <v>1593</v>
      </c>
      <c r="C841" s="5">
        <f>=HYPERLINK("https://nusmods.com/modules/DOS3704#timetable","Timetable")</f>
      </c>
      <c r="D841" s="5"/>
      <c r="E841" s="5">
        <f>=HYPERLINK("https://luminus.nus.edu.sg/modules/72a8e527-3b7b-4bda-9e8d-debdb0eb7a45","LumiNUS course site")</f>
      </c>
      <c r="F841" s="0" t="s">
        <v>28</v>
      </c>
      <c r="G841" s="0" t="s">
        <v>228</v>
      </c>
      <c r="H841" s="3">
        <v>79</v>
      </c>
    </row>
    <row r="842">
      <c r="A842" s="0" t="s">
        <v>1594</v>
      </c>
      <c r="B842" s="0" t="s">
        <v>1595</v>
      </c>
      <c r="C842" s="5">
        <f>=HYPERLINK("https://nusmods.com/modules/DOS3712#timetable","Timetable")</f>
      </c>
      <c r="D842" s="5">
        <f>=HYPERLINK("https://canvas.nus.edu.sg/courses/26710","Canvas course site")</f>
      </c>
      <c r="E842" s="5"/>
      <c r="F842" s="0" t="s">
        <v>28</v>
      </c>
      <c r="G842" s="0" t="s">
        <v>228</v>
      </c>
      <c r="H842" s="3">
        <v>28</v>
      </c>
    </row>
    <row r="843">
      <c r="A843" s="0" t="s">
        <v>1596</v>
      </c>
      <c r="B843" s="0" t="s">
        <v>1597</v>
      </c>
      <c r="C843" s="5">
        <f>=HYPERLINK("https://nusmods.com/modules/DOS3714#timetable","Timetable")</f>
      </c>
      <c r="D843" s="5">
        <f>=HYPERLINK("https://canvas.nus.edu.sg/courses/25505","Canvas course site")</f>
      </c>
      <c r="E843" s="5"/>
      <c r="F843" s="0" t="s">
        <v>28</v>
      </c>
      <c r="G843" s="0" t="s">
        <v>228</v>
      </c>
      <c r="H843" s="3">
        <v>44</v>
      </c>
    </row>
    <row r="844">
      <c r="A844" s="0" t="s">
        <v>1598</v>
      </c>
      <c r="B844" s="0" t="s">
        <v>1599</v>
      </c>
      <c r="C844" s="5">
        <f>=HYPERLINK("https://nusmods.com/modules/DOS3751#timetable","Timetable")</f>
      </c>
      <c r="D844" s="5"/>
      <c r="E844" s="5"/>
      <c r="F844" s="0" t="s">
        <v>28</v>
      </c>
      <c r="G844" s="0" t="s">
        <v>228</v>
      </c>
      <c r="H844" s="3">
        <v>0</v>
      </c>
    </row>
    <row r="845">
      <c r="A845" s="0" t="s">
        <v>1600</v>
      </c>
      <c r="B845" s="0" t="s">
        <v>1601</v>
      </c>
      <c r="C845" s="5">
        <f>=HYPERLINK("https://nusmods.com/modules/DOS3752#timetable","Timetable")</f>
      </c>
      <c r="D845" s="5"/>
      <c r="E845" s="5"/>
      <c r="F845" s="0" t="s">
        <v>28</v>
      </c>
      <c r="G845" s="0" t="s">
        <v>228</v>
      </c>
      <c r="H845" s="3">
        <v>0</v>
      </c>
    </row>
    <row r="846">
      <c r="A846" s="0" t="s">
        <v>1602</v>
      </c>
      <c r="B846" s="0" t="s">
        <v>1603</v>
      </c>
      <c r="C846" s="5">
        <f>=HYPERLINK("https://nusmods.com/modules/DOS4712#timetable","Timetable")</f>
      </c>
      <c r="D846" s="5">
        <f>=HYPERLINK("https://canvas.nus.edu.sg/courses/25520","Canvas course site")</f>
      </c>
      <c r="E846" s="5">
        <f>=HYPERLINK("https://luminus.nus.edu.sg/modules/db7c05ea-a61a-4c0c-8df1-59a92837ad6c","LumiNUS course site")</f>
      </c>
      <c r="F846" s="0" t="s">
        <v>28</v>
      </c>
      <c r="G846" s="0" t="s">
        <v>228</v>
      </c>
      <c r="H846" s="3">
        <v>59</v>
      </c>
    </row>
    <row r="847">
      <c r="A847" s="0" t="s">
        <v>1604</v>
      </c>
      <c r="B847" s="0" t="s">
        <v>1605</v>
      </c>
      <c r="C847" s="5">
        <f>=HYPERLINK("https://nusmods.com/modules/DOS4751#timetable","Timetable")</f>
      </c>
      <c r="D847" s="5"/>
      <c r="E847" s="5"/>
      <c r="F847" s="0" t="s">
        <v>28</v>
      </c>
      <c r="G847" s="0" t="s">
        <v>228</v>
      </c>
      <c r="H847" s="3">
        <v>0</v>
      </c>
    </row>
    <row r="848">
      <c r="A848" s="0" t="s">
        <v>1606</v>
      </c>
      <c r="B848" s="0" t="s">
        <v>1607</v>
      </c>
      <c r="C848" s="5">
        <f>=HYPERLINK("https://nusmods.com/modules/DOS4752#timetable","Timetable")</f>
      </c>
      <c r="D848" s="5"/>
      <c r="E848" s="5"/>
      <c r="F848" s="0" t="s">
        <v>28</v>
      </c>
      <c r="G848" s="0" t="s">
        <v>228</v>
      </c>
      <c r="H848" s="3">
        <v>0</v>
      </c>
    </row>
    <row r="849">
      <c r="A849" s="0" t="s">
        <v>1608</v>
      </c>
      <c r="B849" s="0" t="s">
        <v>1609</v>
      </c>
      <c r="C849" s="5">
        <f>=HYPERLINK("https://nusmods.com/modules/DOS4811#timetable","Timetable")</f>
      </c>
      <c r="D849" s="5"/>
      <c r="E849" s="5">
        <f>=HYPERLINK("https://luminus.nus.edu.sg/modules/f5af7ada-e3e8-4a0b-8a4d-1c914d4675c8","LumiNUS course site")</f>
      </c>
      <c r="F849" s="0" t="s">
        <v>28</v>
      </c>
      <c r="G849" s="0" t="s">
        <v>228</v>
      </c>
      <c r="H849" s="3">
        <v>82</v>
      </c>
    </row>
    <row r="850">
      <c r="A850" s="0" t="s">
        <v>1610</v>
      </c>
      <c r="B850" s="0" t="s">
        <v>1611</v>
      </c>
      <c r="C850" s="5">
        <f>=HYPERLINK("https://nusmods.com/modules/DOS5101#timetable","Timetable")</f>
      </c>
      <c r="D850" s="5"/>
      <c r="E850" s="5">
        <f>=HYPERLINK("https://luminus.nus.edu.sg/modules/8b968719-587f-4759-9bb6-64de3045eae3","LumiNUS course site")</f>
      </c>
      <c r="F850" s="0" t="s">
        <v>28</v>
      </c>
      <c r="G850" s="0" t="s">
        <v>228</v>
      </c>
      <c r="H850" s="3">
        <v>59</v>
      </c>
    </row>
    <row r="851">
      <c r="A851" s="0" t="s">
        <v>1612</v>
      </c>
      <c r="B851" s="0" t="s">
        <v>1458</v>
      </c>
      <c r="C851" s="5">
        <f>=HYPERLINK("https://nusmods.com/modules/DOS5102#timetable","Timetable")</f>
      </c>
      <c r="D851" s="5"/>
      <c r="E851" s="5">
        <f>=HYPERLINK("https://luminus.nus.edu.sg/modules/af2a8f55-c71e-4233-9b28-dd5c6f74371e","LumiNUS course site")</f>
      </c>
      <c r="F851" s="0" t="s">
        <v>28</v>
      </c>
      <c r="G851" s="0" t="s">
        <v>228</v>
      </c>
      <c r="H851" s="3">
        <v>54</v>
      </c>
    </row>
    <row r="852">
      <c r="A852" s="0" t="s">
        <v>1613</v>
      </c>
      <c r="B852" s="0" t="s">
        <v>556</v>
      </c>
      <c r="C852" s="5">
        <f>=HYPERLINK("https://nusmods.com/modules/DOS5106#timetable","Timetable")</f>
      </c>
      <c r="D852" s="5"/>
      <c r="E852" s="5">
        <f>=HYPERLINK("https://luminus.nus.edu.sg/modules/9a63fc98-9555-40bc-9bb2-f60bc6586527","LumiNUS course site")</f>
      </c>
      <c r="F852" s="0" t="s">
        <v>28</v>
      </c>
      <c r="G852" s="0" t="s">
        <v>228</v>
      </c>
      <c r="H852" s="3">
        <v>47</v>
      </c>
    </row>
    <row r="853">
      <c r="A853" s="0" t="s">
        <v>1614</v>
      </c>
      <c r="B853" s="0" t="s">
        <v>1615</v>
      </c>
      <c r="C853" s="5">
        <f>=HYPERLINK("https://nusmods.com/modules/DSA1101#timetable","Timetable")</f>
      </c>
      <c r="D853" s="5"/>
      <c r="E853" s="5">
        <f>=HYPERLINK("https://luminus.nus.edu.sg/modules/8dd6550c-8833-4ef5-b67b-e39812803317","LumiNUS course site")</f>
      </c>
      <c r="F853" s="0" t="s">
        <v>266</v>
      </c>
      <c r="G853" s="0" t="s">
        <v>1616</v>
      </c>
      <c r="H853" s="3">
        <v>239</v>
      </c>
    </row>
    <row r="854">
      <c r="A854" s="0" t="s">
        <v>1617</v>
      </c>
      <c r="B854" s="0" t="s">
        <v>1618</v>
      </c>
      <c r="C854" s="5">
        <f>=HYPERLINK("https://nusmods.com/modules/DSA2101#timetable","Timetable")</f>
      </c>
      <c r="D854" s="5">
        <f>=HYPERLINK("https://canvas.nus.edu.sg/courses/25568","Canvas course site")</f>
      </c>
      <c r="E854" s="5"/>
      <c r="F854" s="0" t="s">
        <v>266</v>
      </c>
      <c r="G854" s="0" t="s">
        <v>1616</v>
      </c>
      <c r="H854" s="3">
        <v>190</v>
      </c>
    </row>
    <row r="855">
      <c r="A855" s="0" t="s">
        <v>1619</v>
      </c>
      <c r="B855" s="0" t="s">
        <v>1620</v>
      </c>
      <c r="C855" s="5">
        <f>=HYPERLINK("https://nusmods.com/modules/DSA2102#timetable","Timetable")</f>
      </c>
      <c r="D855" s="5">
        <f>=HYPERLINK("https://canvas.nus.edu.sg/courses/25575","Canvas course site")</f>
      </c>
      <c r="E855" s="5"/>
      <c r="F855" s="0" t="s">
        <v>266</v>
      </c>
      <c r="G855" s="0" t="s">
        <v>1621</v>
      </c>
      <c r="H855" s="3">
        <v>203</v>
      </c>
    </row>
    <row r="856">
      <c r="A856" s="0" t="s">
        <v>1622</v>
      </c>
      <c r="B856" s="0" t="s">
        <v>1623</v>
      </c>
      <c r="C856" s="5">
        <f>=HYPERLINK("https://nusmods.com/modules/DSA2312#timetable","Timetable")</f>
      </c>
      <c r="D856" s="5"/>
      <c r="E856" s="5"/>
      <c r="F856" s="0" t="s">
        <v>266</v>
      </c>
      <c r="G856" s="0" t="s">
        <v>1616</v>
      </c>
      <c r="H856" s="3">
        <v>1</v>
      </c>
    </row>
    <row r="857">
      <c r="A857" s="0" t="s">
        <v>1624</v>
      </c>
      <c r="B857" s="0" t="s">
        <v>1625</v>
      </c>
      <c r="C857" s="5">
        <f>=HYPERLINK("https://nusmods.com/modules/DSA3101#timetable","Timetable")</f>
      </c>
      <c r="D857" s="5">
        <f>=HYPERLINK("https://canvas.nus.edu.sg/courses/25580","Canvas course site")</f>
      </c>
      <c r="E857" s="5"/>
      <c r="F857" s="0" t="s">
        <v>266</v>
      </c>
      <c r="G857" s="0" t="s">
        <v>1616</v>
      </c>
      <c r="H857" s="3">
        <v>108</v>
      </c>
    </row>
    <row r="858">
      <c r="A858" s="0" t="s">
        <v>1626</v>
      </c>
      <c r="B858" s="0" t="s">
        <v>1627</v>
      </c>
      <c r="C858" s="5">
        <f>=HYPERLINK("https://nusmods.com/modules/DSA3102#timetable","Timetable")</f>
      </c>
      <c r="D858" s="5">
        <f>=HYPERLINK("https://canvas.nus.edu.sg/courses/25585","Canvas course site")</f>
      </c>
      <c r="E858" s="5"/>
      <c r="F858" s="0" t="s">
        <v>266</v>
      </c>
      <c r="G858" s="0" t="s">
        <v>1621</v>
      </c>
      <c r="H858" s="3">
        <v>119</v>
      </c>
    </row>
    <row r="859">
      <c r="A859" s="0" t="s">
        <v>1628</v>
      </c>
      <c r="B859" s="0" t="s">
        <v>1089</v>
      </c>
      <c r="C859" s="5">
        <f>=HYPERLINK("https://nusmods.com/modules/DSA3312#timetable","Timetable")</f>
      </c>
      <c r="D859" s="5"/>
      <c r="E859" s="5"/>
      <c r="F859" s="0" t="s">
        <v>266</v>
      </c>
      <c r="G859" s="0" t="s">
        <v>1616</v>
      </c>
      <c r="H859" s="3">
        <v>25</v>
      </c>
    </row>
    <row r="860">
      <c r="A860" s="0" t="s">
        <v>1629</v>
      </c>
      <c r="B860" s="0" t="s">
        <v>1630</v>
      </c>
      <c r="C860" s="5">
        <f>=HYPERLINK("https://nusmods.com/modules/DSA3361#timetable","Timetable")</f>
      </c>
      <c r="D860" s="5">
        <f>=HYPERLINK("https://canvas.nus.edu.sg/courses/26731","Canvas course site")</f>
      </c>
      <c r="E860" s="5">
        <f>=HYPERLINK("https://luminus.nus.edu.sg/modules/dc34458f-90f1-418e-b1af-938f7d57a59d","LumiNUS course site")</f>
      </c>
      <c r="F860" s="0" t="s">
        <v>266</v>
      </c>
      <c r="G860" s="0" t="s">
        <v>1616</v>
      </c>
      <c r="H860" s="3">
        <v>11</v>
      </c>
    </row>
    <row r="861">
      <c r="A861" s="0" t="s">
        <v>1631</v>
      </c>
      <c r="B861" s="0" t="s">
        <v>1632</v>
      </c>
      <c r="C861" s="5">
        <f>=HYPERLINK("https://nusmods.com/modules/DSA4199#timetable","Timetable")</f>
      </c>
      <c r="D861" s="5">
        <f>=HYPERLINK("https://canvas.nus.edu.sg/courses/25595","Canvas course site")</f>
      </c>
      <c r="E861" s="5">
        <f>=HYPERLINK("https://luminus.nus.edu.sg/modules/ec58e595-0b7a-4cbb-ba10-0e912d01cb5e","LumiNUS course site")</f>
      </c>
      <c r="F861" s="0" t="s">
        <v>266</v>
      </c>
      <c r="G861" s="0" t="s">
        <v>1616</v>
      </c>
      <c r="H861" s="3">
        <v>13</v>
      </c>
    </row>
    <row r="862">
      <c r="A862" s="0" t="s">
        <v>1633</v>
      </c>
      <c r="B862" s="0" t="s">
        <v>1634</v>
      </c>
      <c r="C862" s="5">
        <f>=HYPERLINK("https://nusmods.com/modules/DSA4211#timetable","Timetable")</f>
      </c>
      <c r="D862" s="5">
        <f>=HYPERLINK("https://canvas.nus.edu.sg/courses/25599","Canvas course site")</f>
      </c>
      <c r="E862" s="5"/>
      <c r="F862" s="0" t="s">
        <v>266</v>
      </c>
      <c r="G862" s="0" t="s">
        <v>1616</v>
      </c>
      <c r="H862" s="3">
        <v>144</v>
      </c>
    </row>
    <row r="863">
      <c r="A863" s="0" t="s">
        <v>1635</v>
      </c>
      <c r="B863" s="0" t="s">
        <v>1636</v>
      </c>
      <c r="C863" s="5">
        <f>=HYPERLINK("https://nusmods.com/modules/DSA4262#timetable","Timetable")</f>
      </c>
      <c r="D863" s="5"/>
      <c r="E863" s="5">
        <f>=HYPERLINK("https://luminus.nus.edu.sg/modules/403da917-30fc-4758-91b8-f217b194e60b","LumiNUS course site")</f>
      </c>
      <c r="F863" s="0" t="s">
        <v>266</v>
      </c>
      <c r="G863" s="0" t="s">
        <v>1616</v>
      </c>
      <c r="H863" s="3">
        <v>74</v>
      </c>
    </row>
    <row r="864">
      <c r="A864" s="0" t="s">
        <v>1637</v>
      </c>
      <c r="B864" s="0" t="s">
        <v>1638</v>
      </c>
      <c r="C864" s="5">
        <f>=HYPERLINK("https://nusmods.com/modules/DSA4299#timetable","Timetable")</f>
      </c>
      <c r="D864" s="5"/>
      <c r="E864" s="5">
        <f>=HYPERLINK("https://luminus.nus.edu.sg/modules/9cdafcd7-e987-4c6e-a1ab-f1b924c3068e","LumiNUS course site")</f>
      </c>
      <c r="F864" s="0" t="s">
        <v>266</v>
      </c>
      <c r="G864" s="0" t="s">
        <v>1616</v>
      </c>
      <c r="H864" s="3">
        <v>74</v>
      </c>
    </row>
    <row r="865">
      <c r="A865" s="0" t="s">
        <v>1639</v>
      </c>
      <c r="B865" s="0" t="s">
        <v>1638</v>
      </c>
      <c r="C865" s="5">
        <f>=HYPERLINK("https://nusmods.com/modules/DSA4299C#timetable","Timetable")</f>
      </c>
      <c r="D865" s="5"/>
      <c r="E865" s="5">
        <f>=HYPERLINK("https://luminus.nus.edu.sg/modules/c629c8fe-8fb0-4d59-a2ff-48d078d26db7","LumiNUS course site")</f>
      </c>
      <c r="F865" s="0" t="s">
        <v>266</v>
      </c>
      <c r="G865" s="0" t="s">
        <v>1616</v>
      </c>
      <c r="H865" s="3">
        <v>6</v>
      </c>
    </row>
    <row r="866">
      <c r="A866" s="0" t="s">
        <v>1640</v>
      </c>
      <c r="B866" s="0" t="s">
        <v>1641</v>
      </c>
      <c r="C866" s="5">
        <f>=HYPERLINK("https://nusmods.com/modules/DSA5101#timetable","Timetable")</f>
      </c>
      <c r="D866" s="5">
        <f>=HYPERLINK("https://canvas.nus.edu.sg/courses/25619","Canvas course site")</f>
      </c>
      <c r="E866" s="5">
        <f>=HYPERLINK("https://luminus.nus.edu.sg/modules/1c84a740-514b-432e-942e-08bc1d19c66b","LumiNUS course site")</f>
      </c>
      <c r="F866" s="0" t="s">
        <v>266</v>
      </c>
      <c r="G866" s="0" t="s">
        <v>1621</v>
      </c>
      <c r="H866" s="3">
        <v>110</v>
      </c>
    </row>
    <row r="867">
      <c r="A867" s="0" t="s">
        <v>1642</v>
      </c>
      <c r="B867" s="0" t="s">
        <v>1643</v>
      </c>
      <c r="C867" s="5">
        <f>=HYPERLINK("https://nusmods.com/modules/DSA5102#timetable","Timetable")</f>
      </c>
      <c r="D867" s="5"/>
      <c r="E867" s="5">
        <f>=HYPERLINK("https://luminus.nus.edu.sg/modules/f26868a7-d085-4c8b-baba-2dca3f77c8e1","LumiNUS course site")</f>
      </c>
      <c r="F867" s="0" t="s">
        <v>266</v>
      </c>
      <c r="G867" s="0" t="s">
        <v>1621</v>
      </c>
      <c r="H867" s="3">
        <v>57</v>
      </c>
    </row>
    <row r="868">
      <c r="A868" s="0" t="s">
        <v>1644</v>
      </c>
      <c r="B868" s="0" t="s">
        <v>1645</v>
      </c>
      <c r="C868" s="5">
        <f>=HYPERLINK("https://nusmods.com/modules/DSA5104#timetable","Timetable")</f>
      </c>
      <c r="D868" s="5">
        <f>=HYPERLINK("https://canvas.nus.edu.sg/courses/26908","Canvas course site")</f>
      </c>
      <c r="E868" s="5"/>
      <c r="F868" s="0" t="s">
        <v>266</v>
      </c>
      <c r="G868" s="0" t="s">
        <v>1621</v>
      </c>
      <c r="H868" s="3">
        <v>101</v>
      </c>
    </row>
    <row r="869">
      <c r="A869" s="0" t="s">
        <v>1646</v>
      </c>
      <c r="B869" s="0" t="s">
        <v>1647</v>
      </c>
      <c r="C869" s="5">
        <f>=HYPERLINK("https://nusmods.com/modules/DSA5105#timetable","Timetable")</f>
      </c>
      <c r="D869" s="5">
        <f>=HYPERLINK("https://canvas.nus.edu.sg/courses/26909","Canvas course site")</f>
      </c>
      <c r="E869" s="5"/>
      <c r="F869" s="0" t="s">
        <v>266</v>
      </c>
      <c r="G869" s="0" t="s">
        <v>1621</v>
      </c>
      <c r="H869" s="3">
        <v>123</v>
      </c>
    </row>
    <row r="870">
      <c r="A870" s="0" t="s">
        <v>1648</v>
      </c>
      <c r="B870" s="0" t="s">
        <v>1649</v>
      </c>
      <c r="C870" s="5">
        <f>=HYPERLINK("https://nusmods.com/modules/DSA5201#timetable","Timetable")</f>
      </c>
      <c r="D870" s="5"/>
      <c r="E870" s="5">
        <f>=HYPERLINK("https://luminus.nus.edu.sg/modules/03b0a3a8-4bbb-4328-bfba-16392a7d2e0f","LumiNUS course site")</f>
      </c>
      <c r="F870" s="0" t="s">
        <v>266</v>
      </c>
      <c r="G870" s="0" t="s">
        <v>1621</v>
      </c>
      <c r="H870" s="3">
        <v>43</v>
      </c>
    </row>
    <row r="871">
      <c r="A871" s="0" t="s">
        <v>1650</v>
      </c>
      <c r="B871" s="0" t="s">
        <v>1651</v>
      </c>
      <c r="C871" s="5">
        <f>=HYPERLINK("https://nusmods.com/modules/DSA5205#timetable","Timetable")</f>
      </c>
      <c r="D871" s="5">
        <f>=HYPERLINK("https://canvas.nus.edu.sg/courses/25634","Canvas course site")</f>
      </c>
      <c r="E871" s="5"/>
      <c r="F871" s="0" t="s">
        <v>266</v>
      </c>
      <c r="G871" s="0" t="s">
        <v>1621</v>
      </c>
      <c r="H871" s="3">
        <v>121</v>
      </c>
    </row>
    <row r="872">
      <c r="A872" s="0" t="s">
        <v>1652</v>
      </c>
      <c r="B872" s="0" t="s">
        <v>1653</v>
      </c>
      <c r="C872" s="5">
        <f>=HYPERLINK("https://nusmods.com/modules/DSA5822#timetable","Timetable")</f>
      </c>
      <c r="D872" s="5"/>
      <c r="E872" s="5"/>
      <c r="F872" s="0" t="s">
        <v>266</v>
      </c>
      <c r="G872" s="0" t="s">
        <v>1616</v>
      </c>
      <c r="H872" s="3">
        <v>0</v>
      </c>
    </row>
    <row r="873">
      <c r="A873" s="0" t="s">
        <v>1654</v>
      </c>
      <c r="B873" s="0" t="s">
        <v>1655</v>
      </c>
      <c r="C873" s="5">
        <f>=HYPERLINK("https://nusmods.com/modules/DSA5831#timetable","Timetable")</f>
      </c>
      <c r="D873" s="5"/>
      <c r="E873" s="5"/>
      <c r="F873" s="0" t="s">
        <v>266</v>
      </c>
      <c r="G873" s="0" t="s">
        <v>1616</v>
      </c>
      <c r="H873" s="3">
        <v>0</v>
      </c>
    </row>
    <row r="874">
      <c r="A874" s="0" t="s">
        <v>1656</v>
      </c>
      <c r="B874" s="0" t="s">
        <v>1657</v>
      </c>
      <c r="C874" s="5">
        <f>=HYPERLINK("https://nusmods.com/modules/DSA5841#timetable","Timetable")</f>
      </c>
      <c r="D874" s="5"/>
      <c r="E874" s="5"/>
      <c r="F874" s="0" t="s">
        <v>266</v>
      </c>
      <c r="G874" s="0" t="s">
        <v>1616</v>
      </c>
      <c r="H874" s="3">
        <v>0</v>
      </c>
    </row>
    <row r="875">
      <c r="A875" s="0" t="s">
        <v>1658</v>
      </c>
      <c r="B875" s="0" t="s">
        <v>1659</v>
      </c>
      <c r="C875" s="5">
        <f>=HYPERLINK("https://nusmods.com/modules/DSA5842#timetable","Timetable")</f>
      </c>
      <c r="D875" s="5"/>
      <c r="E875" s="5"/>
      <c r="F875" s="0" t="s">
        <v>266</v>
      </c>
      <c r="G875" s="0" t="s">
        <v>1616</v>
      </c>
      <c r="H875" s="3">
        <v>0</v>
      </c>
    </row>
    <row r="876">
      <c r="A876" s="0" t="s">
        <v>1660</v>
      </c>
      <c r="B876" s="0" t="s">
        <v>1661</v>
      </c>
      <c r="C876" s="5">
        <f>=HYPERLINK("https://nusmods.com/modules/DSA5843#timetable","Timetable")</f>
      </c>
      <c r="D876" s="5"/>
      <c r="E876" s="5"/>
      <c r="F876" s="0" t="s">
        <v>266</v>
      </c>
      <c r="G876" s="0" t="s">
        <v>1616</v>
      </c>
      <c r="H876" s="3">
        <v>0</v>
      </c>
    </row>
    <row r="877">
      <c r="A877" s="0" t="s">
        <v>1662</v>
      </c>
      <c r="B877" s="0" t="s">
        <v>1587</v>
      </c>
      <c r="C877" s="5">
        <f>=HYPERLINK("https://nusmods.com/modules/DSC3201#timetable","Timetable")</f>
      </c>
      <c r="D877" s="5"/>
      <c r="E877" s="5"/>
      <c r="F877" s="0" t="s">
        <v>28</v>
      </c>
      <c r="G877" s="0" t="s">
        <v>228</v>
      </c>
      <c r="H877" s="3">
        <v>0</v>
      </c>
    </row>
    <row r="878">
      <c r="A878" s="0" t="s">
        <v>1663</v>
      </c>
      <c r="B878" s="0" t="s">
        <v>1589</v>
      </c>
      <c r="C878" s="5">
        <f>=HYPERLINK("https://nusmods.com/modules/DSC3202#timetable","Timetable")</f>
      </c>
      <c r="D878" s="5">
        <f>=HYPERLINK("https://canvas.nus.edu.sg/courses/25491","Canvas course site")</f>
      </c>
      <c r="E878" s="5"/>
      <c r="F878" s="0" t="s">
        <v>28</v>
      </c>
      <c r="G878" s="0" t="s">
        <v>228</v>
      </c>
      <c r="H878" s="3">
        <v>0</v>
      </c>
    </row>
    <row r="879">
      <c r="A879" s="0" t="s">
        <v>1664</v>
      </c>
      <c r="B879" s="0" t="s">
        <v>1591</v>
      </c>
      <c r="C879" s="5">
        <f>=HYPERLINK("https://nusmods.com/modules/DSC3203#timetable","Timetable")</f>
      </c>
      <c r="D879" s="5"/>
      <c r="E879" s="5">
        <f>=HYPERLINK("https://luminus.nus.edu.sg/modules/d6bbc051-7273-43e6-8cc8-f7cb0b1fdead","LumiNUS course site")</f>
      </c>
      <c r="F879" s="0" t="s">
        <v>28</v>
      </c>
      <c r="G879" s="0" t="s">
        <v>228</v>
      </c>
      <c r="H879" s="3">
        <v>0</v>
      </c>
    </row>
    <row r="880">
      <c r="A880" s="0" t="s">
        <v>1665</v>
      </c>
      <c r="B880" s="0" t="s">
        <v>1666</v>
      </c>
      <c r="C880" s="5">
        <f>=HYPERLINK("https://nusmods.com/modules/DSC3214#timetable","Timetable")</f>
      </c>
      <c r="D880" s="5"/>
      <c r="E880" s="5"/>
      <c r="F880" s="0" t="s">
        <v>28</v>
      </c>
      <c r="G880" s="0" t="s">
        <v>228</v>
      </c>
      <c r="H880" s="3">
        <v>0</v>
      </c>
    </row>
    <row r="881">
      <c r="A881" s="0" t="s">
        <v>1667</v>
      </c>
      <c r="B881" s="0" t="s">
        <v>1668</v>
      </c>
      <c r="C881" s="5">
        <f>=HYPERLINK("https://nusmods.com/modules/DSC3215#timetable","Timetable")</f>
      </c>
      <c r="D881" s="5">
        <f>=HYPERLINK("https://canvas.nus.edu.sg/courses/25688","Canvas course site")</f>
      </c>
      <c r="E881" s="5">
        <f>=HYPERLINK("https://luminus.nus.edu.sg/modules/698781c7-1656-4395-9dd2-eb91aa499820","LumiNUS course site")</f>
      </c>
      <c r="F881" s="0" t="s">
        <v>28</v>
      </c>
      <c r="G881" s="0" t="s">
        <v>228</v>
      </c>
      <c r="H881" s="3">
        <v>0</v>
      </c>
    </row>
    <row r="882">
      <c r="A882" s="0" t="s">
        <v>1669</v>
      </c>
      <c r="B882" s="0" t="s">
        <v>1450</v>
      </c>
      <c r="C882" s="5">
        <f>=HYPERLINK("https://nusmods.com/modules/DSC3216#timetable","Timetable")</f>
      </c>
      <c r="D882" s="5">
        <f>=HYPERLINK("https://canvas.nus.edu.sg/courses/25091","Canvas course site")</f>
      </c>
      <c r="E882" s="5"/>
      <c r="F882" s="0" t="s">
        <v>28</v>
      </c>
      <c r="G882" s="0" t="s">
        <v>228</v>
      </c>
      <c r="H882" s="3">
        <v>1</v>
      </c>
    </row>
    <row r="883">
      <c r="A883" s="0" t="s">
        <v>1670</v>
      </c>
      <c r="B883" s="0" t="s">
        <v>1597</v>
      </c>
      <c r="C883" s="5">
        <f>=HYPERLINK("https://nusmods.com/modules/DSC3226#timetable","Timetable")</f>
      </c>
      <c r="D883" s="5">
        <f>=HYPERLINK("https://canvas.nus.edu.sg/courses/25505","Canvas course site")</f>
      </c>
      <c r="E883" s="5"/>
      <c r="F883" s="0" t="s">
        <v>28</v>
      </c>
      <c r="G883" s="0" t="s">
        <v>228</v>
      </c>
      <c r="H883" s="3">
        <v>0</v>
      </c>
    </row>
    <row r="884">
      <c r="A884" s="0" t="s">
        <v>1671</v>
      </c>
      <c r="B884" s="0" t="s">
        <v>1672</v>
      </c>
      <c r="C884" s="5">
        <f>=HYPERLINK("https://nusmods.com/modules/DSC3229#timetable","Timetable")</f>
      </c>
      <c r="D884" s="5"/>
      <c r="E884" s="5"/>
      <c r="F884" s="0" t="s">
        <v>28</v>
      </c>
      <c r="G884" s="0" t="s">
        <v>228</v>
      </c>
      <c r="H884" s="3">
        <v>0</v>
      </c>
    </row>
    <row r="885">
      <c r="A885" s="0" t="s">
        <v>1673</v>
      </c>
      <c r="B885" s="0" t="s">
        <v>1458</v>
      </c>
      <c r="C885" s="5">
        <f>=HYPERLINK("https://nusmods.com/modules/DSC4213#timetable","Timetable")</f>
      </c>
      <c r="D885" s="5"/>
      <c r="E885" s="5">
        <f>=HYPERLINK("https://luminus.nus.edu.sg/modules/a26def64-9efc-41a8-ae8d-07ab04a8c04a","LumiNUS course site")</f>
      </c>
      <c r="F885" s="0" t="s">
        <v>28</v>
      </c>
      <c r="G885" s="0" t="s">
        <v>228</v>
      </c>
      <c r="H885" s="3">
        <v>1</v>
      </c>
    </row>
    <row r="886">
      <c r="A886" s="0" t="s">
        <v>1674</v>
      </c>
      <c r="B886" s="0" t="s">
        <v>1603</v>
      </c>
      <c r="C886" s="5">
        <f>=HYPERLINK("https://nusmods.com/modules/DSC4214#timetable","Timetable")</f>
      </c>
      <c r="D886" s="5"/>
      <c r="E886" s="5"/>
      <c r="F886" s="0" t="s">
        <v>28</v>
      </c>
      <c r="G886" s="0" t="s">
        <v>228</v>
      </c>
      <c r="H886" s="3">
        <v>0</v>
      </c>
    </row>
    <row r="887">
      <c r="A887" s="0" t="s">
        <v>1675</v>
      </c>
      <c r="B887" s="0" t="s">
        <v>1609</v>
      </c>
      <c r="C887" s="5">
        <f>=HYPERLINK("https://nusmods.com/modules/DSC4215#timetable","Timetable")</f>
      </c>
      <c r="D887" s="5"/>
      <c r="E887" s="5">
        <f>=HYPERLINK("https://luminus.nus.edu.sg/modules/f5af7ada-e3e8-4a0b-8a4d-1c914d4675c8","LumiNUS course site")</f>
      </c>
      <c r="F887" s="0" t="s">
        <v>28</v>
      </c>
      <c r="G887" s="0" t="s">
        <v>228</v>
      </c>
      <c r="H887" s="3">
        <v>1</v>
      </c>
    </row>
    <row r="888">
      <c r="A888" s="0" t="s">
        <v>1676</v>
      </c>
      <c r="B888" s="0" t="s">
        <v>1605</v>
      </c>
      <c r="C888" s="5">
        <f>=HYPERLINK("https://nusmods.com/modules/DSC4219#timetable","Timetable")</f>
      </c>
      <c r="D888" s="5"/>
      <c r="E888" s="5"/>
      <c r="F888" s="0" t="s">
        <v>28</v>
      </c>
      <c r="G888" s="0" t="s">
        <v>228</v>
      </c>
      <c r="H888" s="3">
        <v>0</v>
      </c>
    </row>
    <row r="889">
      <c r="A889" s="0" t="s">
        <v>1677</v>
      </c>
      <c r="B889" s="0" t="s">
        <v>1605</v>
      </c>
      <c r="C889" s="5">
        <f>=HYPERLINK("https://nusmods.com/modules/DSC4229#timetable","Timetable")</f>
      </c>
      <c r="D889" s="5"/>
      <c r="E889" s="5"/>
      <c r="F889" s="0" t="s">
        <v>28</v>
      </c>
      <c r="G889" s="0" t="s">
        <v>228</v>
      </c>
      <c r="H889" s="3">
        <v>0</v>
      </c>
    </row>
    <row r="890">
      <c r="A890" s="0" t="s">
        <v>1678</v>
      </c>
      <c r="B890" s="0" t="s">
        <v>1679</v>
      </c>
      <c r="C890" s="5">
        <f>=HYPERLINK("https://nusmods.com/modules/DSE1101#timetable","Timetable")</f>
      </c>
      <c r="D890" s="5"/>
      <c r="E890" s="5">
        <f>=HYPERLINK("https://luminus.nus.edu.sg/modules/0fc4e792-b35a-4b3a-a271-e66b5e275bd6","LumiNUS course site")</f>
      </c>
      <c r="F890" s="0" t="s">
        <v>266</v>
      </c>
      <c r="G890" s="0" t="s">
        <v>1616</v>
      </c>
      <c r="H890" s="3">
        <v>85</v>
      </c>
    </row>
    <row r="891">
      <c r="A891" s="0" t="s">
        <v>1680</v>
      </c>
      <c r="B891" s="0" t="s">
        <v>1681</v>
      </c>
      <c r="C891" s="5">
        <f>=HYPERLINK("https://nusmods.com/modules/DTK1234#timetable","Timetable")</f>
      </c>
      <c r="D891" s="5"/>
      <c r="E891" s="5">
        <f>=HYPERLINK("https://luminus.nus.edu.sg/modules/91ac0a34-4937-4502-96fd-4d8ddf875988","LumiNUS course site")</f>
      </c>
      <c r="F891" s="0" t="s">
        <v>10</v>
      </c>
      <c r="G891" s="0" t="s">
        <v>782</v>
      </c>
      <c r="H891" s="3">
        <v>1441</v>
      </c>
    </row>
    <row r="892">
      <c r="A892" s="0" t="s">
        <v>1682</v>
      </c>
      <c r="B892" s="0" t="s">
        <v>1681</v>
      </c>
      <c r="C892" s="5">
        <f>=HYPERLINK("https://nusmods.com/modules/DTK1234A#timetable","Timetable")</f>
      </c>
      <c r="D892" s="5"/>
      <c r="E892" s="5">
        <f>=HYPERLINK("https://luminus.nus.edu.sg/modules/e7dac86b-0676-4ec9-80cf-a3017909e6a3","LumiNUS course site")</f>
      </c>
      <c r="F892" s="0" t="s">
        <v>10</v>
      </c>
      <c r="G892" s="0" t="s">
        <v>782</v>
      </c>
      <c r="H892" s="3">
        <v>107</v>
      </c>
    </row>
    <row r="893">
      <c r="A893" s="0" t="s">
        <v>1683</v>
      </c>
      <c r="B893" s="0" t="s">
        <v>1684</v>
      </c>
      <c r="C893" s="5">
        <f>=HYPERLINK("https://nusmods.com/modules/DTS5701#timetable","Timetable")</f>
      </c>
      <c r="D893" s="5"/>
      <c r="E893" s="5"/>
      <c r="F893" s="0" t="s">
        <v>1685</v>
      </c>
      <c r="G893" s="0" t="s">
        <v>1686</v>
      </c>
      <c r="H893" s="3">
        <v>0</v>
      </c>
    </row>
    <row r="894">
      <c r="A894" s="0" t="s">
        <v>1687</v>
      </c>
      <c r="B894" s="0" t="s">
        <v>1688</v>
      </c>
      <c r="C894" s="5">
        <f>=HYPERLINK("https://nusmods.com/modules/DTS5702#timetable","Timetable")</f>
      </c>
      <c r="D894" s="5"/>
      <c r="E894" s="5"/>
      <c r="F894" s="0" t="s">
        <v>1685</v>
      </c>
      <c r="G894" s="0" t="s">
        <v>1686</v>
      </c>
      <c r="H894" s="3">
        <v>0</v>
      </c>
    </row>
    <row r="895">
      <c r="A895" s="0" t="s">
        <v>1689</v>
      </c>
      <c r="B895" s="0" t="s">
        <v>1690</v>
      </c>
      <c r="C895" s="5">
        <f>=HYPERLINK("https://nusmods.com/modules/DTS5711#timetable","Timetable")</f>
      </c>
      <c r="D895" s="5"/>
      <c r="E895" s="5"/>
      <c r="F895" s="0" t="s">
        <v>1685</v>
      </c>
      <c r="G895" s="0" t="s">
        <v>1686</v>
      </c>
      <c r="H895" s="3">
        <v>0</v>
      </c>
    </row>
    <row r="896">
      <c r="A896" s="0" t="s">
        <v>1691</v>
      </c>
      <c r="B896" s="0" t="s">
        <v>1692</v>
      </c>
      <c r="C896" s="5">
        <f>=HYPERLINK("https://nusmods.com/modules/DTS5712#timetable","Timetable")</f>
      </c>
      <c r="D896" s="5"/>
      <c r="E896" s="5"/>
      <c r="F896" s="0" t="s">
        <v>1685</v>
      </c>
      <c r="G896" s="0" t="s">
        <v>1686</v>
      </c>
      <c r="H896" s="3">
        <v>0</v>
      </c>
    </row>
    <row r="897">
      <c r="A897" s="0" t="s">
        <v>1693</v>
      </c>
      <c r="B897" s="0" t="s">
        <v>1694</v>
      </c>
      <c r="C897" s="5">
        <f>=HYPERLINK("https://nusmods.com/modules/DTS5732#timetable","Timetable")</f>
      </c>
      <c r="D897" s="5"/>
      <c r="E897" s="5"/>
      <c r="F897" s="0" t="s">
        <v>1685</v>
      </c>
      <c r="G897" s="0" t="s">
        <v>1686</v>
      </c>
      <c r="H897" s="3">
        <v>0</v>
      </c>
    </row>
    <row r="898">
      <c r="A898" s="0" t="s">
        <v>1695</v>
      </c>
      <c r="B898" s="0" t="s">
        <v>1696</v>
      </c>
      <c r="C898" s="5">
        <f>=HYPERLINK("https://nusmods.com/modules/DTS5734#timetable","Timetable")</f>
      </c>
      <c r="D898" s="5"/>
      <c r="E898" s="5"/>
      <c r="F898" s="0" t="s">
        <v>1685</v>
      </c>
      <c r="G898" s="0" t="s">
        <v>1686</v>
      </c>
      <c r="H898" s="3">
        <v>0</v>
      </c>
    </row>
    <row r="899">
      <c r="A899" s="0" t="s">
        <v>1697</v>
      </c>
      <c r="B899" s="0" t="s">
        <v>1698</v>
      </c>
      <c r="C899" s="5">
        <f>=HYPERLINK("https://nusmods.com/modules/DTS5735#timetable","Timetable")</f>
      </c>
      <c r="D899" s="5"/>
      <c r="E899" s="5"/>
      <c r="F899" s="0" t="s">
        <v>1685</v>
      </c>
      <c r="G899" s="0" t="s">
        <v>1686</v>
      </c>
      <c r="H899" s="3">
        <v>0</v>
      </c>
    </row>
    <row r="900">
      <c r="A900" s="0" t="s">
        <v>1699</v>
      </c>
      <c r="B900" s="0" t="s">
        <v>1700</v>
      </c>
      <c r="C900" s="5">
        <f>=HYPERLINK("https://nusmods.com/modules/DTS5736#timetable","Timetable")</f>
      </c>
      <c r="D900" s="5"/>
      <c r="E900" s="5"/>
      <c r="F900" s="0" t="s">
        <v>1685</v>
      </c>
      <c r="G900" s="0" t="s">
        <v>1686</v>
      </c>
      <c r="H900" s="3">
        <v>0</v>
      </c>
    </row>
    <row r="901">
      <c r="A901" s="0" t="s">
        <v>1701</v>
      </c>
      <c r="B901" s="0" t="s">
        <v>1702</v>
      </c>
      <c r="C901" s="5">
        <f>=HYPERLINK("https://nusmods.com/modules/DY5190#timetable","Timetable")</f>
      </c>
      <c r="D901" s="5"/>
      <c r="E901" s="5"/>
      <c r="F901" s="0" t="s">
        <v>1495</v>
      </c>
      <c r="G901" s="0" t="s">
        <v>1496</v>
      </c>
      <c r="H901" s="3">
        <v>0</v>
      </c>
    </row>
    <row r="902">
      <c r="A902" s="0" t="s">
        <v>1703</v>
      </c>
      <c r="B902" s="0" t="s">
        <v>1704</v>
      </c>
      <c r="C902" s="5">
        <f>=HYPERLINK("https://nusmods.com/modules/DY5310#timetable","Timetable")</f>
      </c>
      <c r="D902" s="5"/>
      <c r="E902" s="5"/>
      <c r="F902" s="0" t="s">
        <v>1495</v>
      </c>
      <c r="G902" s="0" t="s">
        <v>1705</v>
      </c>
      <c r="H902" s="3">
        <v>11</v>
      </c>
    </row>
    <row r="903">
      <c r="A903" s="0" t="s">
        <v>1706</v>
      </c>
      <c r="B903" s="0" t="s">
        <v>1707</v>
      </c>
      <c r="C903" s="5">
        <f>=HYPERLINK("https://nusmods.com/modules/DY5320#timetable","Timetable")</f>
      </c>
      <c r="D903" s="5"/>
      <c r="E903" s="5"/>
      <c r="F903" s="0" t="s">
        <v>1495</v>
      </c>
      <c r="G903" s="0" t="s">
        <v>1705</v>
      </c>
      <c r="H903" s="3">
        <v>7</v>
      </c>
    </row>
    <row r="904">
      <c r="A904" s="0" t="s">
        <v>1708</v>
      </c>
      <c r="B904" s="0" t="s">
        <v>1709</v>
      </c>
      <c r="C904" s="5">
        <f>=HYPERLINK("https://nusmods.com/modules/DY5330#timetable","Timetable")</f>
      </c>
      <c r="D904" s="5"/>
      <c r="E904" s="5"/>
      <c r="F904" s="0" t="s">
        <v>1495</v>
      </c>
      <c r="G904" s="0" t="s">
        <v>1705</v>
      </c>
      <c r="H904" s="3">
        <v>13</v>
      </c>
    </row>
    <row r="905">
      <c r="A905" s="0" t="s">
        <v>1710</v>
      </c>
      <c r="B905" s="0" t="s">
        <v>1711</v>
      </c>
      <c r="C905" s="5">
        <f>=HYPERLINK("https://nusmods.com/modules/DY5340#timetable","Timetable")</f>
      </c>
      <c r="D905" s="5"/>
      <c r="E905" s="5">
        <f>=HYPERLINK("https://luminus.nus.edu.sg/modules/ff796862-c787-4015-bc73-2d3d5b9fab5b","LumiNUS course site")</f>
      </c>
      <c r="F905" s="0" t="s">
        <v>1495</v>
      </c>
      <c r="G905" s="0" t="s">
        <v>1705</v>
      </c>
      <c r="H905" s="3">
        <v>9</v>
      </c>
    </row>
    <row r="906">
      <c r="A906" s="0" t="s">
        <v>1712</v>
      </c>
      <c r="B906" s="0" t="s">
        <v>1713</v>
      </c>
      <c r="C906" s="5">
        <f>=HYPERLINK("https://nusmods.com/modules/DY5350#timetable","Timetable")</f>
      </c>
      <c r="D906" s="5"/>
      <c r="E906" s="5"/>
      <c r="F906" s="0" t="s">
        <v>1495</v>
      </c>
      <c r="G906" s="0" t="s">
        <v>1705</v>
      </c>
      <c r="H906" s="3">
        <v>10</v>
      </c>
    </row>
    <row r="907">
      <c r="A907" s="0" t="s">
        <v>1714</v>
      </c>
      <c r="B907" s="0" t="s">
        <v>1715</v>
      </c>
      <c r="C907" s="5">
        <f>=HYPERLINK("https://nusmods.com/modules/DY5360#timetable","Timetable")</f>
      </c>
      <c r="D907" s="5"/>
      <c r="E907" s="5">
        <f>=HYPERLINK("https://luminus.nus.edu.sg/modules/5eb78f5c-edbc-4472-9000-18ece7e7a039","LumiNUS course site")</f>
      </c>
      <c r="F907" s="0" t="s">
        <v>1495</v>
      </c>
      <c r="G907" s="0" t="s">
        <v>1705</v>
      </c>
      <c r="H907" s="3">
        <v>6</v>
      </c>
    </row>
    <row r="908">
      <c r="A908" s="0" t="s">
        <v>1716</v>
      </c>
      <c r="B908" s="0" t="s">
        <v>1717</v>
      </c>
      <c r="C908" s="5">
        <f>=HYPERLINK("https://nusmods.com/modules/EBA5001#timetable","Timetable")</f>
      </c>
      <c r="D908" s="5">
        <f>=HYPERLINK("https://canvas.nus.edu.sg/courses/26739","Canvas course site")</f>
      </c>
      <c r="E908" s="5">
        <f>=HYPERLINK("https://luminus.nus.edu.sg/modules/460e8ba4-dff5-4a4e-9cec-9a43e4d9f619","LumiNUS course site")</f>
      </c>
      <c r="F908" s="0" t="s">
        <v>1501</v>
      </c>
      <c r="G908" s="0" t="s">
        <v>1501</v>
      </c>
      <c r="H908" s="3">
        <v>79</v>
      </c>
    </row>
    <row r="909">
      <c r="A909" s="0" t="s">
        <v>1718</v>
      </c>
      <c r="B909" s="0" t="s">
        <v>1717</v>
      </c>
      <c r="C909" s="5">
        <f>=HYPERLINK("https://nusmods.com/modules/EBA5001G#timetable","Timetable")</f>
      </c>
      <c r="D909" s="5"/>
      <c r="E909" s="5"/>
      <c r="F909" s="0" t="s">
        <v>1501</v>
      </c>
      <c r="G909" s="0" t="s">
        <v>1501</v>
      </c>
      <c r="H909" s="3">
        <v>21</v>
      </c>
    </row>
    <row r="910">
      <c r="A910" s="0" t="s">
        <v>1719</v>
      </c>
      <c r="B910" s="0" t="s">
        <v>1720</v>
      </c>
      <c r="C910" s="5">
        <f>=HYPERLINK("https://nusmods.com/modules/EBA5002#timetable","Timetable")</f>
      </c>
      <c r="D910" s="5">
        <f>=HYPERLINK("https://canvas.nus.edu.sg/courses/26740","Canvas course site")</f>
      </c>
      <c r="E910" s="5">
        <f>=HYPERLINK("https://luminus.nus.edu.sg/modules/406ddf3d-d764-46c7-a885-a16119659052","LumiNUS course site")</f>
      </c>
      <c r="F910" s="0" t="s">
        <v>1501</v>
      </c>
      <c r="G910" s="0" t="s">
        <v>1501</v>
      </c>
      <c r="H910" s="3">
        <v>122</v>
      </c>
    </row>
    <row r="911">
      <c r="A911" s="0" t="s">
        <v>1721</v>
      </c>
      <c r="B911" s="0" t="s">
        <v>1720</v>
      </c>
      <c r="C911" s="5">
        <f>=HYPERLINK("https://nusmods.com/modules/EBA5002G#timetable","Timetable")</f>
      </c>
      <c r="D911" s="5"/>
      <c r="E911" s="5"/>
      <c r="F911" s="0" t="s">
        <v>1501</v>
      </c>
      <c r="G911" s="0" t="s">
        <v>1501</v>
      </c>
      <c r="H911" s="3">
        <v>3</v>
      </c>
    </row>
    <row r="912">
      <c r="A912" s="0" t="s">
        <v>1722</v>
      </c>
      <c r="B912" s="0" t="s">
        <v>1723</v>
      </c>
      <c r="C912" s="5">
        <f>=HYPERLINK("https://nusmods.com/modules/EBA5003#timetable","Timetable")</f>
      </c>
      <c r="D912" s="5"/>
      <c r="E912" s="5"/>
      <c r="F912" s="0" t="s">
        <v>1501</v>
      </c>
      <c r="G912" s="0" t="s">
        <v>1501</v>
      </c>
      <c r="H912" s="3">
        <v>0</v>
      </c>
    </row>
    <row r="913">
      <c r="A913" s="0" t="s">
        <v>1724</v>
      </c>
      <c r="B913" s="0" t="s">
        <v>1725</v>
      </c>
      <c r="C913" s="5">
        <f>=HYPERLINK("https://nusmods.com/modules/EBA5004#timetable","Timetable")</f>
      </c>
      <c r="D913" s="5"/>
      <c r="E913" s="5">
        <f>=HYPERLINK("https://luminus.nus.edu.sg/modules/c0bd049e-d8c6-4071-8b27-2214237a09de","LumiNUS course site")</f>
      </c>
      <c r="F913" s="0" t="s">
        <v>1501</v>
      </c>
      <c r="G913" s="0" t="s">
        <v>1501</v>
      </c>
      <c r="H913" s="3">
        <v>41</v>
      </c>
    </row>
    <row r="914">
      <c r="A914" s="0" t="s">
        <v>1726</v>
      </c>
      <c r="B914" s="0" t="s">
        <v>1725</v>
      </c>
      <c r="C914" s="5">
        <f>=HYPERLINK("https://nusmods.com/modules/EBA5004G#timetable","Timetable")</f>
      </c>
      <c r="D914" s="5"/>
      <c r="E914" s="5"/>
      <c r="F914" s="0" t="s">
        <v>1501</v>
      </c>
      <c r="G914" s="0" t="s">
        <v>1501</v>
      </c>
      <c r="H914" s="3">
        <v>4</v>
      </c>
    </row>
    <row r="915">
      <c r="A915" s="0" t="s">
        <v>1727</v>
      </c>
      <c r="B915" s="0" t="s">
        <v>1728</v>
      </c>
      <c r="C915" s="5">
        <f>=HYPERLINK("https://nusmods.com/modules/EBA5005#timetable","Timetable")</f>
      </c>
      <c r="D915" s="5"/>
      <c r="E915" s="5">
        <f>=HYPERLINK("https://luminus.nus.edu.sg/modules/94df2026-1ee2-4827-b668-c4f686678ad7","LumiNUS course site")</f>
      </c>
      <c r="F915" s="0" t="s">
        <v>1501</v>
      </c>
      <c r="G915" s="0" t="s">
        <v>1501</v>
      </c>
      <c r="H915" s="3">
        <v>67</v>
      </c>
    </row>
    <row r="916">
      <c r="A916" s="0" t="s">
        <v>1729</v>
      </c>
      <c r="B916" s="0" t="s">
        <v>1730</v>
      </c>
      <c r="C916" s="5">
        <f>=HYPERLINK("https://nusmods.com/modules/EBA5006#timetable","Timetable")</f>
      </c>
      <c r="D916" s="5"/>
      <c r="E916" s="5"/>
      <c r="F916" s="0" t="s">
        <v>1501</v>
      </c>
      <c r="G916" s="0" t="s">
        <v>1501</v>
      </c>
      <c r="H916" s="3">
        <v>0</v>
      </c>
    </row>
    <row r="917">
      <c r="A917" s="0" t="s">
        <v>1731</v>
      </c>
      <c r="B917" s="0" t="s">
        <v>1732</v>
      </c>
      <c r="C917" s="5">
        <f>=HYPERLINK("https://nusmods.com/modules/EBA5007#timetable","Timetable")</f>
      </c>
      <c r="D917" s="5"/>
      <c r="E917" s="5"/>
      <c r="F917" s="0" t="s">
        <v>1501</v>
      </c>
      <c r="G917" s="0" t="s">
        <v>1501</v>
      </c>
      <c r="H917" s="3">
        <v>87</v>
      </c>
    </row>
    <row r="918">
      <c r="A918" s="0" t="s">
        <v>1733</v>
      </c>
      <c r="B918" s="0" t="s">
        <v>1734</v>
      </c>
      <c r="C918" s="5">
        <f>=HYPERLINK("https://nusmods.com/modules/EC1101E#timetable","Timetable")</f>
      </c>
      <c r="D918" s="5"/>
      <c r="E918" s="5">
        <f>=HYPERLINK("https://luminus.nus.edu.sg/modules/d587da58-2c75-487e-8d27-a7a0d42a07d8","LumiNUS course site")</f>
      </c>
      <c r="F918" s="0" t="s">
        <v>73</v>
      </c>
      <c r="G918" s="0" t="s">
        <v>1735</v>
      </c>
      <c r="H918" s="3">
        <v>623</v>
      </c>
    </row>
    <row r="919">
      <c r="A919" s="0" t="s">
        <v>1736</v>
      </c>
      <c r="B919" s="0" t="s">
        <v>1737</v>
      </c>
      <c r="C919" s="5">
        <f>=HYPERLINK("https://nusmods.com/modules/EC2101#timetable","Timetable")</f>
      </c>
      <c r="D919" s="5"/>
      <c r="E919" s="5">
        <f>=HYPERLINK("https://luminus.nus.edu.sg/modules/31e6ccf1-54d4-4c78-a6e9-e71a8d2f1b23","LumiNUS course site")</f>
      </c>
      <c r="F919" s="0" t="s">
        <v>73</v>
      </c>
      <c r="G919" s="0" t="s">
        <v>1735</v>
      </c>
      <c r="H919" s="3">
        <v>256</v>
      </c>
    </row>
    <row r="920">
      <c r="A920" s="0" t="s">
        <v>1738</v>
      </c>
      <c r="B920" s="0" t="s">
        <v>1739</v>
      </c>
      <c r="C920" s="5">
        <f>=HYPERLINK("https://nusmods.com/modules/EC2102#timetable","Timetable")</f>
      </c>
      <c r="D920" s="5"/>
      <c r="E920" s="5">
        <f>=HYPERLINK("https://luminus.nus.edu.sg/modules/770991c9-e418-426c-8ecf-c8049e4d5000","LumiNUS course site")</f>
      </c>
      <c r="F920" s="0" t="s">
        <v>73</v>
      </c>
      <c r="G920" s="0" t="s">
        <v>1735</v>
      </c>
      <c r="H920" s="3">
        <v>287</v>
      </c>
    </row>
    <row r="921">
      <c r="A921" s="0" t="s">
        <v>1740</v>
      </c>
      <c r="B921" s="0" t="s">
        <v>1741</v>
      </c>
      <c r="C921" s="5">
        <f>=HYPERLINK("https://nusmods.com/modules/EC2104#timetable","Timetable")</f>
      </c>
      <c r="D921" s="5"/>
      <c r="E921" s="5">
        <f>=HYPERLINK("https://luminus.nus.edu.sg/modules/5ada327d-3b44-4b87-8a9f-5387629cddb6","LumiNUS course site")</f>
      </c>
      <c r="F921" s="0" t="s">
        <v>73</v>
      </c>
      <c r="G921" s="0" t="s">
        <v>1735</v>
      </c>
      <c r="H921" s="3">
        <v>169</v>
      </c>
    </row>
    <row r="922">
      <c r="A922" s="0" t="s">
        <v>1742</v>
      </c>
      <c r="B922" s="0" t="s">
        <v>1743</v>
      </c>
      <c r="C922" s="5">
        <f>=HYPERLINK("https://nusmods.com/modules/EC2205#timetable","Timetable")</f>
      </c>
      <c r="D922" s="5"/>
      <c r="E922" s="5">
        <f>=HYPERLINK("https://luminus.nus.edu.sg/modules/d5e23b22-fc9d-405b-a30c-1ae6b031fc68","LumiNUS course site")</f>
      </c>
      <c r="F922" s="0" t="s">
        <v>73</v>
      </c>
      <c r="G922" s="0" t="s">
        <v>1735</v>
      </c>
      <c r="H922" s="3">
        <v>69</v>
      </c>
    </row>
    <row r="923">
      <c r="A923" s="0" t="s">
        <v>1744</v>
      </c>
      <c r="B923" s="0" t="s">
        <v>1745</v>
      </c>
      <c r="C923" s="5">
        <f>=HYPERLINK("https://nusmods.com/modules/EC2303#timetable","Timetable")</f>
      </c>
      <c r="D923" s="5">
        <f>=HYPERLINK("https://canvas.nus.edu.sg/courses/25812","Canvas course site")</f>
      </c>
      <c r="E923" s="5">
        <f>=HYPERLINK("https://luminus.nus.edu.sg/modules/efcb6f4f-0624-4ec1-a768-1d6a300b0532","LumiNUS course site")</f>
      </c>
      <c r="F923" s="0" t="s">
        <v>73</v>
      </c>
      <c r="G923" s="0" t="s">
        <v>1735</v>
      </c>
      <c r="H923" s="3">
        <v>121</v>
      </c>
    </row>
    <row r="924">
      <c r="A924" s="0" t="s">
        <v>1746</v>
      </c>
      <c r="B924" s="0" t="s">
        <v>1747</v>
      </c>
      <c r="C924" s="5">
        <f>=HYPERLINK("https://nusmods.com/modules/EC2374#timetable","Timetable")</f>
      </c>
      <c r="D924" s="5"/>
      <c r="E924" s="5">
        <f>=HYPERLINK("https://luminus.nus.edu.sg/modules/4060fb1b-3bc3-4cbf-a86a-8765fbbc9780","LumiNUS course site")</f>
      </c>
      <c r="F924" s="0" t="s">
        <v>73</v>
      </c>
      <c r="G924" s="0" t="s">
        <v>1735</v>
      </c>
      <c r="H924" s="3">
        <v>56</v>
      </c>
    </row>
    <row r="925">
      <c r="A925" s="0" t="s">
        <v>1748</v>
      </c>
      <c r="B925" s="0" t="s">
        <v>1749</v>
      </c>
      <c r="C925" s="5">
        <f>=HYPERLINK("https://nusmods.com/modules/EC3101#timetable","Timetable")</f>
      </c>
      <c r="D925" s="5"/>
      <c r="E925" s="5">
        <f>=HYPERLINK("https://luminus.nus.edu.sg/modules/53c0e85d-0487-4958-8d21-0a92c05ca148","LumiNUS course site")</f>
      </c>
      <c r="F925" s="0" t="s">
        <v>73</v>
      </c>
      <c r="G925" s="0" t="s">
        <v>1735</v>
      </c>
      <c r="H925" s="3">
        <v>123</v>
      </c>
    </row>
    <row r="926">
      <c r="A926" s="0" t="s">
        <v>1750</v>
      </c>
      <c r="B926" s="0" t="s">
        <v>1751</v>
      </c>
      <c r="C926" s="5">
        <f>=HYPERLINK("https://nusmods.com/modules/EC3102#timetable","Timetable")</f>
      </c>
      <c r="D926" s="5"/>
      <c r="E926" s="5">
        <f>=HYPERLINK("https://luminus.nus.edu.sg/modules/d1e2fe94-8f63-419a-a2c3-4a7bfaf2bad2","LumiNUS course site")</f>
      </c>
      <c r="F926" s="0" t="s">
        <v>73</v>
      </c>
      <c r="G926" s="0" t="s">
        <v>1735</v>
      </c>
      <c r="H926" s="3">
        <v>107</v>
      </c>
    </row>
    <row r="927">
      <c r="A927" s="0" t="s">
        <v>1752</v>
      </c>
      <c r="B927" s="0" t="s">
        <v>1753</v>
      </c>
      <c r="C927" s="5">
        <f>=HYPERLINK("https://nusmods.com/modules/EC3303#timetable","Timetable")</f>
      </c>
      <c r="D927" s="5"/>
      <c r="E927" s="5">
        <f>=HYPERLINK("https://luminus.nus.edu.sg/modules/4284d720-ca44-49da-bf7f-06820d0ecbae","LumiNUS course site")</f>
      </c>
      <c r="F927" s="0" t="s">
        <v>73</v>
      </c>
      <c r="G927" s="0" t="s">
        <v>1735</v>
      </c>
      <c r="H927" s="3">
        <v>142</v>
      </c>
    </row>
    <row r="928">
      <c r="A928" s="0" t="s">
        <v>1754</v>
      </c>
      <c r="B928" s="0" t="s">
        <v>1755</v>
      </c>
      <c r="C928" s="5">
        <f>=HYPERLINK("https://nusmods.com/modules/EC3304#timetable","Timetable")</f>
      </c>
      <c r="D928" s="5"/>
      <c r="E928" s="5">
        <f>=HYPERLINK("https://luminus.nus.edu.sg/modules/3b2b5ff7-55b0-4d34-aef4-44556feef626","LumiNUS course site")</f>
      </c>
      <c r="F928" s="0" t="s">
        <v>73</v>
      </c>
      <c r="G928" s="0" t="s">
        <v>1735</v>
      </c>
      <c r="H928" s="3">
        <v>119</v>
      </c>
    </row>
    <row r="929">
      <c r="A929" s="0" t="s">
        <v>1756</v>
      </c>
      <c r="B929" s="0" t="s">
        <v>1757</v>
      </c>
      <c r="C929" s="5">
        <f>=HYPERLINK("https://nusmods.com/modules/EC3305#timetable","Timetable")</f>
      </c>
      <c r="D929" s="5">
        <f>=HYPERLINK("https://canvas.nus.edu.sg/courses/25846","Canvas course site")</f>
      </c>
      <c r="E929" s="5">
        <f>=HYPERLINK("https://luminus.nus.edu.sg/modules/8815bfb1-6d9f-4902-9e45-1922adb43d99","LumiNUS course site")</f>
      </c>
      <c r="F929" s="0" t="s">
        <v>73</v>
      </c>
      <c r="G929" s="0" t="s">
        <v>1735</v>
      </c>
      <c r="H929" s="3">
        <v>22</v>
      </c>
    </row>
    <row r="930">
      <c r="A930" s="0" t="s">
        <v>1758</v>
      </c>
      <c r="B930" s="0" t="s">
        <v>1759</v>
      </c>
      <c r="C930" s="5">
        <f>=HYPERLINK("https://nusmods.com/modules/EC3312#timetable","Timetable")</f>
      </c>
      <c r="D930" s="5"/>
      <c r="E930" s="5">
        <f>=HYPERLINK("https://luminus.nus.edu.sg/modules/517be3b9-498c-4748-8b17-a846e20779fb","LumiNUS course site")</f>
      </c>
      <c r="F930" s="0" t="s">
        <v>73</v>
      </c>
      <c r="G930" s="0" t="s">
        <v>1735</v>
      </c>
      <c r="H930" s="3">
        <v>57</v>
      </c>
    </row>
    <row r="931">
      <c r="A931" s="0" t="s">
        <v>1760</v>
      </c>
      <c r="B931" s="0" t="s">
        <v>1761</v>
      </c>
      <c r="C931" s="5">
        <f>=HYPERLINK("https://nusmods.com/modules/EC3332#timetable","Timetable")</f>
      </c>
      <c r="D931" s="5"/>
      <c r="E931" s="5">
        <f>=HYPERLINK("https://luminus.nus.edu.sg/modules/a34efcba-a4f1-4566-82fd-c949b47d56ff","LumiNUS course site")</f>
      </c>
      <c r="F931" s="0" t="s">
        <v>73</v>
      </c>
      <c r="G931" s="0" t="s">
        <v>1735</v>
      </c>
      <c r="H931" s="3">
        <v>105</v>
      </c>
    </row>
    <row r="932">
      <c r="A932" s="0" t="s">
        <v>1762</v>
      </c>
      <c r="B932" s="0" t="s">
        <v>1763</v>
      </c>
      <c r="C932" s="5">
        <f>=HYPERLINK("https://nusmods.com/modules/EC3333#timetable","Timetable")</f>
      </c>
      <c r="D932" s="5"/>
      <c r="E932" s="5">
        <f>=HYPERLINK("https://luminus.nus.edu.sg/modules/12246fc7-b232-4705-9f69-f58b31ba3dbb","LumiNUS course site")</f>
      </c>
      <c r="F932" s="0" t="s">
        <v>73</v>
      </c>
      <c r="G932" s="0" t="s">
        <v>1735</v>
      </c>
      <c r="H932" s="3">
        <v>94</v>
      </c>
    </row>
    <row r="933">
      <c r="A933" s="0" t="s">
        <v>1764</v>
      </c>
      <c r="B933" s="0" t="s">
        <v>1765</v>
      </c>
      <c r="C933" s="5">
        <f>=HYPERLINK("https://nusmods.com/modules/EC3342#timetable","Timetable")</f>
      </c>
      <c r="D933" s="5"/>
      <c r="E933" s="5">
        <f>=HYPERLINK("https://luminus.nus.edu.sg/modules/1db3a5c7-c0b0-4f99-af16-a021c22fcd48","LumiNUS course site")</f>
      </c>
      <c r="F933" s="0" t="s">
        <v>73</v>
      </c>
      <c r="G933" s="0" t="s">
        <v>1735</v>
      </c>
      <c r="H933" s="3">
        <v>49</v>
      </c>
    </row>
    <row r="934">
      <c r="A934" s="0" t="s">
        <v>1766</v>
      </c>
      <c r="B934" s="0" t="s">
        <v>1767</v>
      </c>
      <c r="C934" s="5">
        <f>=HYPERLINK("https://nusmods.com/modules/EC3343#timetable","Timetable")</f>
      </c>
      <c r="D934" s="5"/>
      <c r="E934" s="5">
        <f>=HYPERLINK("https://luminus.nus.edu.sg/modules/d8c9c202-d4d5-41ad-9897-fe63dbbd3c1b","LumiNUS course site")</f>
      </c>
      <c r="F934" s="0" t="s">
        <v>73</v>
      </c>
      <c r="G934" s="0" t="s">
        <v>1735</v>
      </c>
      <c r="H934" s="3">
        <v>92</v>
      </c>
    </row>
    <row r="935">
      <c r="A935" s="0" t="s">
        <v>1768</v>
      </c>
      <c r="B935" s="0" t="s">
        <v>1769</v>
      </c>
      <c r="C935" s="5">
        <f>=HYPERLINK("https://nusmods.com/modules/EC3381#timetable","Timetable")</f>
      </c>
      <c r="D935" s="5"/>
      <c r="E935" s="5">
        <f>=HYPERLINK("https://luminus.nus.edu.sg/modules/d5b3d2f3-0d6d-435d-9b79-5671ef526308","LumiNUS course site")</f>
      </c>
      <c r="F935" s="0" t="s">
        <v>73</v>
      </c>
      <c r="G935" s="0" t="s">
        <v>1735</v>
      </c>
      <c r="H935" s="3">
        <v>55</v>
      </c>
    </row>
    <row r="936">
      <c r="A936" s="0" t="s">
        <v>1770</v>
      </c>
      <c r="B936" s="0" t="s">
        <v>1771</v>
      </c>
      <c r="C936" s="5">
        <f>=HYPERLINK("https://nusmods.com/modules/EC3391#timetable","Timetable")</f>
      </c>
      <c r="D936" s="5"/>
      <c r="E936" s="5">
        <f>=HYPERLINK("https://luminus.nus.edu.sg/modules/d325acc2-375e-4171-ad1f-1a21fd84102e","LumiNUS course site")</f>
      </c>
      <c r="F936" s="0" t="s">
        <v>73</v>
      </c>
      <c r="G936" s="0" t="s">
        <v>1735</v>
      </c>
      <c r="H936" s="3">
        <v>10</v>
      </c>
    </row>
    <row r="937">
      <c r="A937" s="0" t="s">
        <v>1772</v>
      </c>
      <c r="B937" s="0" t="s">
        <v>1773</v>
      </c>
      <c r="C937" s="5">
        <f>=HYPERLINK("https://nusmods.com/modules/EC3551#timetable","Timetable")</f>
      </c>
      <c r="D937" s="5"/>
      <c r="E937" s="5"/>
      <c r="F937" s="0" t="s">
        <v>73</v>
      </c>
      <c r="G937" s="0" t="s">
        <v>1735</v>
      </c>
      <c r="H937" s="3">
        <v>1</v>
      </c>
    </row>
    <row r="938">
      <c r="A938" s="0" t="s">
        <v>1774</v>
      </c>
      <c r="B938" s="0" t="s">
        <v>1775</v>
      </c>
      <c r="C938" s="5">
        <f>=HYPERLINK("https://nusmods.com/modules/EC4301#timetable","Timetable")</f>
      </c>
      <c r="D938" s="5"/>
      <c r="E938" s="5">
        <f>=HYPERLINK("https://luminus.nus.edu.sg/modules/f31795db-deaa-4041-90d2-0a92bd9c602e","LumiNUS course site")</f>
      </c>
      <c r="F938" s="0" t="s">
        <v>73</v>
      </c>
      <c r="G938" s="0" t="s">
        <v>1735</v>
      </c>
      <c r="H938" s="3">
        <v>26</v>
      </c>
    </row>
    <row r="939">
      <c r="A939" s="0" t="s">
        <v>1776</v>
      </c>
      <c r="B939" s="0" t="s">
        <v>1777</v>
      </c>
      <c r="C939" s="5">
        <f>=HYPERLINK("https://nusmods.com/modules/EC4302#timetable","Timetable")</f>
      </c>
      <c r="D939" s="5"/>
      <c r="E939" s="5">
        <f>=HYPERLINK("https://luminus.nus.edu.sg/modules/3e843216-489a-4e9c-970b-8e55e6c58f8f","LumiNUS course site")</f>
      </c>
      <c r="F939" s="0" t="s">
        <v>73</v>
      </c>
      <c r="G939" s="0" t="s">
        <v>1735</v>
      </c>
      <c r="H939" s="3">
        <v>27</v>
      </c>
    </row>
    <row r="940">
      <c r="A940" s="0" t="s">
        <v>1778</v>
      </c>
      <c r="B940" s="0" t="s">
        <v>1779</v>
      </c>
      <c r="C940" s="5">
        <f>=HYPERLINK("https://nusmods.com/modules/EC4303#timetable","Timetable")</f>
      </c>
      <c r="D940" s="5"/>
      <c r="E940" s="5">
        <f>=HYPERLINK("https://luminus.nus.edu.sg/modules/5a8f0a26-8cf5-4c88-aeae-3da0b4019116","LumiNUS course site")</f>
      </c>
      <c r="F940" s="0" t="s">
        <v>73</v>
      </c>
      <c r="G940" s="0" t="s">
        <v>1735</v>
      </c>
      <c r="H940" s="3">
        <v>17</v>
      </c>
    </row>
    <row r="941">
      <c r="A941" s="0" t="s">
        <v>1780</v>
      </c>
      <c r="B941" s="0" t="s">
        <v>1781</v>
      </c>
      <c r="C941" s="5">
        <f>=HYPERLINK("https://nusmods.com/modules/EC4304#timetable","Timetable")</f>
      </c>
      <c r="D941" s="5"/>
      <c r="E941" s="5">
        <f>=HYPERLINK("https://luminus.nus.edu.sg/modules/879c19ed-bcb8-41b7-b802-550c59ef4bbf","LumiNUS course site")</f>
      </c>
      <c r="F941" s="0" t="s">
        <v>73</v>
      </c>
      <c r="G941" s="0" t="s">
        <v>1735</v>
      </c>
      <c r="H941" s="3">
        <v>46</v>
      </c>
    </row>
    <row r="942">
      <c r="A942" s="0" t="s">
        <v>1782</v>
      </c>
      <c r="B942" s="0" t="s">
        <v>1783</v>
      </c>
      <c r="C942" s="5">
        <f>=HYPERLINK("https://nusmods.com/modules/EC4305#timetable","Timetable")</f>
      </c>
      <c r="D942" s="5"/>
      <c r="E942" s="5">
        <f>=HYPERLINK("https://luminus.nus.edu.sg/modules/163a5232-3956-4ebd-9567-7b612d53d0f0","LumiNUS course site")</f>
      </c>
      <c r="F942" s="0" t="s">
        <v>73</v>
      </c>
      <c r="G942" s="0" t="s">
        <v>1735</v>
      </c>
      <c r="H942" s="3">
        <v>81</v>
      </c>
    </row>
    <row r="943">
      <c r="A943" s="0" t="s">
        <v>1784</v>
      </c>
      <c r="B943" s="0" t="s">
        <v>1785</v>
      </c>
      <c r="C943" s="5">
        <f>=HYPERLINK("https://nusmods.com/modules/EC4306#timetable","Timetable")</f>
      </c>
      <c r="D943" s="5"/>
      <c r="E943" s="5">
        <f>=HYPERLINK("https://luminus.nus.edu.sg/modules/f47adfb4-13e4-4f64-a310-f52e65c95b4f","LumiNUS course site")</f>
      </c>
      <c r="F943" s="0" t="s">
        <v>73</v>
      </c>
      <c r="G943" s="0" t="s">
        <v>1735</v>
      </c>
      <c r="H943" s="3">
        <v>48</v>
      </c>
    </row>
    <row r="944">
      <c r="A944" s="0" t="s">
        <v>1786</v>
      </c>
      <c r="B944" s="0" t="s">
        <v>1787</v>
      </c>
      <c r="C944" s="5">
        <f>=HYPERLINK("https://nusmods.com/modules/EC4307#timetable","Timetable")</f>
      </c>
      <c r="D944" s="5"/>
      <c r="E944" s="5">
        <f>=HYPERLINK("https://luminus.nus.edu.sg/modules/43333ab8-29a6-4ed2-95ff-81be00b98a2d","LumiNUS course site")</f>
      </c>
      <c r="F944" s="0" t="s">
        <v>73</v>
      </c>
      <c r="G944" s="0" t="s">
        <v>1735</v>
      </c>
      <c r="H944" s="3">
        <v>97</v>
      </c>
    </row>
    <row r="945">
      <c r="A945" s="0" t="s">
        <v>1788</v>
      </c>
      <c r="B945" s="0" t="s">
        <v>1789</v>
      </c>
      <c r="C945" s="5">
        <f>=HYPERLINK("https://nusmods.com/modules/EC4308#timetable","Timetable")</f>
      </c>
      <c r="D945" s="5"/>
      <c r="E945" s="5">
        <f>=HYPERLINK("https://luminus.nus.edu.sg/modules/b8d09145-1632-4c16-876a-b7d93dde8d5b","LumiNUS course site")</f>
      </c>
      <c r="F945" s="0" t="s">
        <v>73</v>
      </c>
      <c r="G945" s="0" t="s">
        <v>1735</v>
      </c>
      <c r="H945" s="3">
        <v>40</v>
      </c>
    </row>
    <row r="946">
      <c r="A946" s="0" t="s">
        <v>1790</v>
      </c>
      <c r="B946" s="0" t="s">
        <v>1791</v>
      </c>
      <c r="C946" s="5">
        <f>=HYPERLINK("https://nusmods.com/modules/EC4313#timetable","Timetable")</f>
      </c>
      <c r="D946" s="5"/>
      <c r="E946" s="5"/>
      <c r="F946" s="0" t="s">
        <v>73</v>
      </c>
      <c r="G946" s="0" t="s">
        <v>1735</v>
      </c>
      <c r="H946" s="3">
        <v>0</v>
      </c>
    </row>
    <row r="947">
      <c r="A947" s="0" t="s">
        <v>1792</v>
      </c>
      <c r="B947" s="0" t="s">
        <v>1793</v>
      </c>
      <c r="C947" s="5">
        <f>=HYPERLINK("https://nusmods.com/modules/EC4324#timetable","Timetable")</f>
      </c>
      <c r="D947" s="5">
        <f>=HYPERLINK("https://canvas.nus.edu.sg/courses/25958","Canvas course site")</f>
      </c>
      <c r="E947" s="5">
        <f>=HYPERLINK("https://luminus.nus.edu.sg/modules/0f212cb1-0a40-4399-aeb5-94d23d5677e5","LumiNUS course site")</f>
      </c>
      <c r="F947" s="0" t="s">
        <v>73</v>
      </c>
      <c r="G947" s="0" t="s">
        <v>1735</v>
      </c>
      <c r="H947" s="3">
        <v>15</v>
      </c>
    </row>
    <row r="948">
      <c r="A948" s="0" t="s">
        <v>1794</v>
      </c>
      <c r="B948" s="0" t="s">
        <v>1795</v>
      </c>
      <c r="C948" s="5">
        <f>=HYPERLINK("https://nusmods.com/modules/EC4325#timetable","Timetable")</f>
      </c>
      <c r="D948" s="5"/>
      <c r="E948" s="5">
        <f>=HYPERLINK("https://luminus.nus.edu.sg/modules/e1fdc1ee-1fed-4321-bb40-fdd00a3bf393","LumiNUS course site")</f>
      </c>
      <c r="F948" s="0" t="s">
        <v>73</v>
      </c>
      <c r="G948" s="0" t="s">
        <v>1735</v>
      </c>
      <c r="H948" s="3">
        <v>44</v>
      </c>
    </row>
    <row r="949">
      <c r="A949" s="0" t="s">
        <v>1796</v>
      </c>
      <c r="B949" s="0" t="s">
        <v>1797</v>
      </c>
      <c r="C949" s="5">
        <f>=HYPERLINK("https://nusmods.com/modules/EC4332#timetable","Timetable")</f>
      </c>
      <c r="D949" s="5"/>
      <c r="E949" s="5">
        <f>=HYPERLINK("https://luminus.nus.edu.sg/modules/655b3db5-e5f3-4c06-ac8a-524516ee0a68","LumiNUS course site")</f>
      </c>
      <c r="F949" s="0" t="s">
        <v>73</v>
      </c>
      <c r="G949" s="0" t="s">
        <v>1735</v>
      </c>
      <c r="H949" s="3">
        <v>50</v>
      </c>
    </row>
    <row r="950">
      <c r="A950" s="0" t="s">
        <v>1798</v>
      </c>
      <c r="B950" s="0" t="s">
        <v>1799</v>
      </c>
      <c r="C950" s="5">
        <f>=HYPERLINK("https://nusmods.com/modules/EC4333#timetable","Timetable")</f>
      </c>
      <c r="D950" s="5"/>
      <c r="E950" s="5">
        <f>=HYPERLINK("https://luminus.nus.edu.sg/modules/77ec315f-ae7a-418d-9bbf-438b2cb4f103","LumiNUS course site")</f>
      </c>
      <c r="F950" s="0" t="s">
        <v>73</v>
      </c>
      <c r="G950" s="0" t="s">
        <v>1735</v>
      </c>
      <c r="H950" s="3">
        <v>40</v>
      </c>
    </row>
    <row r="951">
      <c r="A951" s="0" t="s">
        <v>1800</v>
      </c>
      <c r="B951" s="0" t="s">
        <v>1801</v>
      </c>
      <c r="C951" s="5">
        <f>=HYPERLINK("https://nusmods.com/modules/EC4343#timetable","Timetable")</f>
      </c>
      <c r="D951" s="5"/>
      <c r="E951" s="5">
        <f>=HYPERLINK("https://luminus.nus.edu.sg/modules/23321694-3368-4bf6-bc55-943b2cfc6afe","LumiNUS course site")</f>
      </c>
      <c r="F951" s="0" t="s">
        <v>73</v>
      </c>
      <c r="G951" s="0" t="s">
        <v>1735</v>
      </c>
      <c r="H951" s="3">
        <v>47</v>
      </c>
    </row>
    <row r="952">
      <c r="A952" s="0" t="s">
        <v>1802</v>
      </c>
      <c r="B952" s="0" t="s">
        <v>1803</v>
      </c>
      <c r="C952" s="5">
        <f>=HYPERLINK("https://nusmods.com/modules/EC4354#timetable","Timetable")</f>
      </c>
      <c r="D952" s="5"/>
      <c r="E952" s="5">
        <f>=HYPERLINK("https://luminus.nus.edu.sg/modules/cffb5fd5-5bda-45ce-ad6f-e7ec28fcf7d3","LumiNUS course site")</f>
      </c>
      <c r="F952" s="0" t="s">
        <v>73</v>
      </c>
      <c r="G952" s="0" t="s">
        <v>1735</v>
      </c>
      <c r="H952" s="3">
        <v>49</v>
      </c>
    </row>
    <row r="953">
      <c r="A953" s="0" t="s">
        <v>1804</v>
      </c>
      <c r="B953" s="0" t="s">
        <v>1805</v>
      </c>
      <c r="C953" s="5">
        <f>=HYPERLINK("https://nusmods.com/modules/EC4355#timetable","Timetable")</f>
      </c>
      <c r="D953" s="5"/>
      <c r="E953" s="5">
        <f>=HYPERLINK("https://luminus.nus.edu.sg/modules/8535f2ea-19f8-4740-bcc8-e3d267b1ebca","LumiNUS course site")</f>
      </c>
      <c r="F953" s="0" t="s">
        <v>73</v>
      </c>
      <c r="G953" s="0" t="s">
        <v>1735</v>
      </c>
      <c r="H953" s="3">
        <v>8</v>
      </c>
    </row>
    <row r="954">
      <c r="A954" s="0" t="s">
        <v>1806</v>
      </c>
      <c r="B954" s="0" t="s">
        <v>1807</v>
      </c>
      <c r="C954" s="5">
        <f>=HYPERLINK("https://nusmods.com/modules/EC4362#timetable","Timetable")</f>
      </c>
      <c r="D954" s="5"/>
      <c r="E954" s="5">
        <f>=HYPERLINK("https://luminus.nus.edu.sg/modules/bb3f413d-c3c0-4e56-81a1-64bdd8978d67","LumiNUS course site")</f>
      </c>
      <c r="F954" s="0" t="s">
        <v>73</v>
      </c>
      <c r="G954" s="0" t="s">
        <v>1735</v>
      </c>
      <c r="H954" s="3">
        <v>48</v>
      </c>
    </row>
    <row r="955">
      <c r="A955" s="0" t="s">
        <v>1808</v>
      </c>
      <c r="B955" s="0" t="s">
        <v>1809</v>
      </c>
      <c r="C955" s="5">
        <f>=HYPERLINK("https://nusmods.com/modules/EC4371#timetable","Timetable")</f>
      </c>
      <c r="D955" s="5"/>
      <c r="E955" s="5">
        <f>=HYPERLINK("https://luminus.nus.edu.sg/modules/280b16f9-c991-46b4-affd-4194a662bfd5","LumiNUS course site")</f>
      </c>
      <c r="F955" s="0" t="s">
        <v>73</v>
      </c>
      <c r="G955" s="0" t="s">
        <v>1735</v>
      </c>
      <c r="H955" s="3">
        <v>45</v>
      </c>
    </row>
    <row r="956">
      <c r="A956" s="0" t="s">
        <v>1810</v>
      </c>
      <c r="B956" s="0" t="s">
        <v>1811</v>
      </c>
      <c r="C956" s="5">
        <f>=HYPERLINK("https://nusmods.com/modules/EC4372#timetable","Timetable")</f>
      </c>
      <c r="D956" s="5"/>
      <c r="E956" s="5">
        <f>=HYPERLINK("https://luminus.nus.edu.sg/modules/4866318e-9903-4997-8d92-fefc7f0243bb","LumiNUS course site")</f>
      </c>
      <c r="F956" s="0" t="s">
        <v>73</v>
      </c>
      <c r="G956" s="0" t="s">
        <v>1735</v>
      </c>
      <c r="H956" s="3">
        <v>77</v>
      </c>
    </row>
    <row r="957">
      <c r="A957" s="0" t="s">
        <v>1812</v>
      </c>
      <c r="B957" s="0" t="s">
        <v>1813</v>
      </c>
      <c r="C957" s="5">
        <f>=HYPERLINK("https://nusmods.com/modules/EC4394#timetable","Timetable")</f>
      </c>
      <c r="D957" s="5">
        <f>=HYPERLINK("https://canvas.nus.edu.sg/courses/26026","Canvas course site")</f>
      </c>
      <c r="E957" s="5">
        <f>=HYPERLINK("https://luminus.nus.edu.sg/modules/59a41224-6363-456e-9019-ee667b1fe62c","LumiNUS course site")</f>
      </c>
      <c r="F957" s="0" t="s">
        <v>73</v>
      </c>
      <c r="G957" s="0" t="s">
        <v>1735</v>
      </c>
      <c r="H957" s="3">
        <v>85</v>
      </c>
    </row>
    <row r="958">
      <c r="A958" s="0" t="s">
        <v>1814</v>
      </c>
      <c r="B958" s="0" t="s">
        <v>1815</v>
      </c>
      <c r="C958" s="5">
        <f>=HYPERLINK("https://nusmods.com/modules/EC4398#timetable","Timetable")</f>
      </c>
      <c r="D958" s="5"/>
      <c r="E958" s="5">
        <f>=HYPERLINK("https://luminus.nus.edu.sg/modules/fbe46446-3f88-4806-95ea-6212685b0a49","LumiNUS course site")</f>
      </c>
      <c r="F958" s="0" t="s">
        <v>73</v>
      </c>
      <c r="G958" s="0" t="s">
        <v>1735</v>
      </c>
      <c r="H958" s="3">
        <v>37</v>
      </c>
    </row>
    <row r="959">
      <c r="A959" s="0" t="s">
        <v>1816</v>
      </c>
      <c r="B959" s="0" t="s">
        <v>980</v>
      </c>
      <c r="C959" s="5">
        <f>=HYPERLINK("https://nusmods.com/modules/EC4401#timetable","Timetable")</f>
      </c>
      <c r="D959" s="5"/>
      <c r="E959" s="5">
        <f>=HYPERLINK("https://luminus.nus.edu.sg/modules/9371e27a-82cb-4e09-9269-251475f0cb04","LumiNUS course site")</f>
      </c>
      <c r="F959" s="0" t="s">
        <v>73</v>
      </c>
      <c r="G959" s="0" t="s">
        <v>1735</v>
      </c>
      <c r="H959" s="3">
        <v>8</v>
      </c>
    </row>
    <row r="960">
      <c r="A960" s="0" t="s">
        <v>1817</v>
      </c>
      <c r="B960" s="0" t="s">
        <v>602</v>
      </c>
      <c r="C960" s="5">
        <f>=HYPERLINK("https://nusmods.com/modules/EC4660#timetable","Timetable")</f>
      </c>
      <c r="D960" s="5"/>
      <c r="E960" s="5">
        <f>=HYPERLINK("https://luminus.nus.edu.sg/modules/ac872489-887c-460a-92a0-53467a9f995b","LumiNUS course site")</f>
      </c>
      <c r="F960" s="0" t="s">
        <v>73</v>
      </c>
      <c r="G960" s="0" t="s">
        <v>1735</v>
      </c>
      <c r="H960" s="3">
        <v>1</v>
      </c>
    </row>
    <row r="961">
      <c r="A961" s="0" t="s">
        <v>1818</v>
      </c>
      <c r="B961" s="0" t="s">
        <v>1819</v>
      </c>
      <c r="C961" s="5">
        <f>=HYPERLINK("https://nusmods.com/modules/EC4880#timetable","Timetable")</f>
      </c>
      <c r="D961" s="5"/>
      <c r="E961" s="5">
        <f>=HYPERLINK("https://luminus.nus.edu.sg/modules/928e532a-a0ff-45cb-bea2-09eb6465037f","LumiNUS course site")</f>
      </c>
      <c r="F961" s="0" t="s">
        <v>73</v>
      </c>
      <c r="G961" s="0" t="s">
        <v>1735</v>
      </c>
      <c r="H961" s="3">
        <v>22</v>
      </c>
    </row>
    <row r="962">
      <c r="A962" s="0" t="s">
        <v>1820</v>
      </c>
      <c r="B962" s="0" t="s">
        <v>1821</v>
      </c>
      <c r="C962" s="5">
        <f>=HYPERLINK("https://nusmods.com/modules/EC5101#timetable","Timetable")</f>
      </c>
      <c r="D962" s="5"/>
      <c r="E962" s="5">
        <f>=HYPERLINK("https://luminus.nus.edu.sg/modules/5dc48fd5-9b57-4eb7-b5cf-f7293cd692c4","LumiNUS course site")</f>
      </c>
      <c r="F962" s="0" t="s">
        <v>73</v>
      </c>
      <c r="G962" s="0" t="s">
        <v>1735</v>
      </c>
      <c r="H962" s="3">
        <v>13</v>
      </c>
    </row>
    <row r="963">
      <c r="A963" s="0" t="s">
        <v>1822</v>
      </c>
      <c r="B963" s="0" t="s">
        <v>1821</v>
      </c>
      <c r="C963" s="5">
        <f>=HYPERLINK("https://nusmods.com/modules/EC5101R#timetable","Timetable")</f>
      </c>
      <c r="D963" s="5"/>
      <c r="E963" s="5">
        <f>=HYPERLINK("https://luminus.nus.edu.sg/modules/5dc48fd5-9b57-4eb7-b5cf-f7293cd692c4","LumiNUS course site")</f>
      </c>
      <c r="F963" s="0" t="s">
        <v>73</v>
      </c>
      <c r="G963" s="0" t="s">
        <v>1735</v>
      </c>
      <c r="H963" s="3">
        <v>1</v>
      </c>
    </row>
    <row r="964">
      <c r="A964" s="0" t="s">
        <v>1823</v>
      </c>
      <c r="B964" s="0" t="s">
        <v>1824</v>
      </c>
      <c r="C964" s="5">
        <f>=HYPERLINK("https://nusmods.com/modules/EC5102#timetable","Timetable")</f>
      </c>
      <c r="D964" s="5"/>
      <c r="E964" s="5">
        <f>=HYPERLINK("https://luminus.nus.edu.sg/modules/3ec23bbb-d422-4c88-929a-497ff122d94b","LumiNUS course site")</f>
      </c>
      <c r="F964" s="0" t="s">
        <v>73</v>
      </c>
      <c r="G964" s="0" t="s">
        <v>1735</v>
      </c>
      <c r="H964" s="3">
        <v>22</v>
      </c>
    </row>
    <row r="965">
      <c r="A965" s="0" t="s">
        <v>1825</v>
      </c>
      <c r="B965" s="0" t="s">
        <v>1824</v>
      </c>
      <c r="C965" s="5">
        <f>=HYPERLINK("https://nusmods.com/modules/EC5102R#timetable","Timetable")</f>
      </c>
      <c r="D965" s="5"/>
      <c r="E965" s="5">
        <f>=HYPERLINK("https://luminus.nus.edu.sg/modules/3ec23bbb-d422-4c88-929a-497ff122d94b","LumiNUS course site")</f>
      </c>
      <c r="F965" s="0" t="s">
        <v>73</v>
      </c>
      <c r="G965" s="0" t="s">
        <v>1735</v>
      </c>
      <c r="H965" s="3">
        <v>0</v>
      </c>
    </row>
    <row r="966">
      <c r="A966" s="0" t="s">
        <v>1826</v>
      </c>
      <c r="B966" s="0" t="s">
        <v>1827</v>
      </c>
      <c r="C966" s="5">
        <f>=HYPERLINK("https://nusmods.com/modules/EC5103#timetable","Timetable")</f>
      </c>
      <c r="D966" s="5"/>
      <c r="E966" s="5">
        <f>=HYPERLINK("https://luminus.nus.edu.sg/modules/21697557-0369-47c5-97c0-445af7be6296","LumiNUS course site")</f>
      </c>
      <c r="F966" s="0" t="s">
        <v>73</v>
      </c>
      <c r="G966" s="0" t="s">
        <v>1735</v>
      </c>
      <c r="H966" s="3">
        <v>24</v>
      </c>
    </row>
    <row r="967">
      <c r="A967" s="0" t="s">
        <v>1828</v>
      </c>
      <c r="B967" s="0" t="s">
        <v>1827</v>
      </c>
      <c r="C967" s="5">
        <f>=HYPERLINK("https://nusmods.com/modules/EC5103R#timetable","Timetable")</f>
      </c>
      <c r="D967" s="5"/>
      <c r="E967" s="5">
        <f>=HYPERLINK("https://luminus.nus.edu.sg/modules/21697557-0369-47c5-97c0-445af7be6296","LumiNUS course site")</f>
      </c>
      <c r="F967" s="0" t="s">
        <v>73</v>
      </c>
      <c r="G967" s="0" t="s">
        <v>1735</v>
      </c>
      <c r="H967" s="3">
        <v>0</v>
      </c>
    </row>
    <row r="968">
      <c r="A968" s="0" t="s">
        <v>1829</v>
      </c>
      <c r="B968" s="0" t="s">
        <v>1830</v>
      </c>
      <c r="C968" s="5">
        <f>=HYPERLINK("https://nusmods.com/modules/EC5104#timetable","Timetable")</f>
      </c>
      <c r="D968" s="5"/>
      <c r="E968" s="5">
        <f>=HYPERLINK("https://luminus.nus.edu.sg/modules/108c71ac-bab7-4340-8735-db77890bd5b2","LumiNUS course site")</f>
      </c>
      <c r="F968" s="0" t="s">
        <v>73</v>
      </c>
      <c r="G968" s="0" t="s">
        <v>1735</v>
      </c>
      <c r="H968" s="3">
        <v>12</v>
      </c>
    </row>
    <row r="969">
      <c r="A969" s="0" t="s">
        <v>1831</v>
      </c>
      <c r="B969" s="0" t="s">
        <v>1830</v>
      </c>
      <c r="C969" s="5">
        <f>=HYPERLINK("https://nusmods.com/modules/EC5104R#timetable","Timetable")</f>
      </c>
      <c r="D969" s="5"/>
      <c r="E969" s="5">
        <f>=HYPERLINK("https://luminus.nus.edu.sg/modules/108c71ac-bab7-4340-8735-db77890bd5b2","LumiNUS course site")</f>
      </c>
      <c r="F969" s="0" t="s">
        <v>73</v>
      </c>
      <c r="G969" s="0" t="s">
        <v>1735</v>
      </c>
      <c r="H969" s="3">
        <v>0</v>
      </c>
    </row>
    <row r="970">
      <c r="A970" s="0" t="s">
        <v>1832</v>
      </c>
      <c r="B970" s="0" t="s">
        <v>1833</v>
      </c>
      <c r="C970" s="5">
        <f>=HYPERLINK("https://nusmods.com/modules/EC5326#timetable","Timetable")</f>
      </c>
      <c r="D970" s="5">
        <f>=HYPERLINK("https://canvas.nus.edu.sg/courses/26072","Canvas course site")</f>
      </c>
      <c r="E970" s="5">
        <f>=HYPERLINK("https://luminus.nus.edu.sg/modules/cb0d1645-34e4-48af-b0fa-8d5215e06ad2","LumiNUS course site")</f>
      </c>
      <c r="F970" s="0" t="s">
        <v>73</v>
      </c>
      <c r="G970" s="0" t="s">
        <v>1735</v>
      </c>
      <c r="H970" s="3">
        <v>6</v>
      </c>
    </row>
    <row r="971">
      <c r="A971" s="0" t="s">
        <v>1834</v>
      </c>
      <c r="B971" s="0" t="s">
        <v>1833</v>
      </c>
      <c r="C971" s="5">
        <f>=HYPERLINK("https://nusmods.com/modules/EC5326R#timetable","Timetable")</f>
      </c>
      <c r="D971" s="5">
        <f>=HYPERLINK("https://canvas.nus.edu.sg/courses/26072","Canvas course site")</f>
      </c>
      <c r="E971" s="5">
        <f>=HYPERLINK("https://luminus.nus.edu.sg/modules/0649a693-4e37-4e43-b3e6-53010f32b003","LumiNUS course site")</f>
      </c>
      <c r="F971" s="0" t="s">
        <v>73</v>
      </c>
      <c r="G971" s="0" t="s">
        <v>1735</v>
      </c>
      <c r="H971" s="3">
        <v>4</v>
      </c>
    </row>
    <row r="972">
      <c r="A972" s="0" t="s">
        <v>1835</v>
      </c>
      <c r="B972" s="0" t="s">
        <v>1836</v>
      </c>
      <c r="C972" s="5">
        <f>=HYPERLINK("https://nusmods.com/modules/EC5361#timetable","Timetable")</f>
      </c>
      <c r="D972" s="5"/>
      <c r="E972" s="5">
        <f>=HYPERLINK("https://luminus.nus.edu.sg/modules/9d3b4dd9-2be5-4960-ab2a-e4f6ce011854","LumiNUS course site")</f>
      </c>
      <c r="F972" s="0" t="s">
        <v>73</v>
      </c>
      <c r="G972" s="0" t="s">
        <v>1735</v>
      </c>
      <c r="H972" s="3">
        <v>9</v>
      </c>
    </row>
    <row r="973">
      <c r="A973" s="0" t="s">
        <v>1837</v>
      </c>
      <c r="B973" s="0" t="s">
        <v>1836</v>
      </c>
      <c r="C973" s="5">
        <f>=HYPERLINK("https://nusmods.com/modules/EC5361R#timetable","Timetable")</f>
      </c>
      <c r="D973" s="5"/>
      <c r="E973" s="5">
        <f>=HYPERLINK("https://luminus.nus.edu.sg/modules/9d3b4dd9-2be5-4960-ab2a-e4f6ce011854","LumiNUS course site")</f>
      </c>
      <c r="F973" s="0" t="s">
        <v>73</v>
      </c>
      <c r="G973" s="0" t="s">
        <v>1735</v>
      </c>
      <c r="H973" s="3">
        <v>0</v>
      </c>
    </row>
    <row r="974">
      <c r="A974" s="0" t="s">
        <v>1838</v>
      </c>
      <c r="B974" s="0" t="s">
        <v>1839</v>
      </c>
      <c r="C974" s="5">
        <f>=HYPERLINK("https://nusmods.com/modules/EC6371#timetable","Timetable")</f>
      </c>
      <c r="D974" s="5"/>
      <c r="E974" s="5">
        <f>=HYPERLINK("https://luminus.nus.edu.sg/modules/e75536be-a193-4421-a804-f96ac43aa1d5","LumiNUS course site")</f>
      </c>
      <c r="F974" s="0" t="s">
        <v>73</v>
      </c>
      <c r="G974" s="0" t="s">
        <v>1735</v>
      </c>
      <c r="H974" s="3">
        <v>9</v>
      </c>
    </row>
    <row r="975">
      <c r="A975" s="0" t="s">
        <v>1840</v>
      </c>
      <c r="B975" s="0" t="s">
        <v>995</v>
      </c>
      <c r="C975" s="5">
        <f>=HYPERLINK("https://nusmods.com/modules/EC6770#timetable","Timetable")</f>
      </c>
      <c r="D975" s="5"/>
      <c r="E975" s="5"/>
      <c r="F975" s="0" t="s">
        <v>73</v>
      </c>
      <c r="G975" s="0" t="s">
        <v>1735</v>
      </c>
      <c r="H975" s="3">
        <v>42</v>
      </c>
    </row>
    <row r="976">
      <c r="A976" s="0" t="s">
        <v>1841</v>
      </c>
      <c r="B976" s="0" t="s">
        <v>1842</v>
      </c>
      <c r="C976" s="5">
        <f>=HYPERLINK("https://nusmods.com/modules/EC6882#timetable","Timetable")</f>
      </c>
      <c r="D976" s="5"/>
      <c r="E976" s="5">
        <f>=HYPERLINK("https://luminus.nus.edu.sg/modules/a9d3b3f2-29d0-4497-b49e-9e6c32ed7a0b","LumiNUS course site")</f>
      </c>
      <c r="F976" s="0" t="s">
        <v>73</v>
      </c>
      <c r="G976" s="0" t="s">
        <v>1735</v>
      </c>
      <c r="H976" s="3">
        <v>5</v>
      </c>
    </row>
    <row r="977">
      <c r="A977" s="0" t="s">
        <v>1843</v>
      </c>
      <c r="B977" s="0" t="s">
        <v>1844</v>
      </c>
      <c r="C977" s="5">
        <f>=HYPERLINK("https://nusmods.com/modules/ECA5101#timetable","Timetable")</f>
      </c>
      <c r="D977" s="5"/>
      <c r="E977" s="5">
        <f>=HYPERLINK("https://luminus.nus.edu.sg/modules/0d4e65fc-9bae-498d-b83c-677e69547da8","LumiNUS course site")</f>
      </c>
      <c r="F977" s="0" t="s">
        <v>73</v>
      </c>
      <c r="G977" s="0" t="s">
        <v>1735</v>
      </c>
      <c r="H977" s="3">
        <v>171</v>
      </c>
    </row>
    <row r="978">
      <c r="A978" s="0" t="s">
        <v>1845</v>
      </c>
      <c r="B978" s="0" t="s">
        <v>1846</v>
      </c>
      <c r="C978" s="5">
        <f>=HYPERLINK("https://nusmods.com/modules/ECA5102#timetable","Timetable")</f>
      </c>
      <c r="D978" s="5"/>
      <c r="E978" s="5">
        <f>=HYPERLINK("https://luminus.nus.edu.sg/modules/b023f81a-8b2e-488c-bba0-c4a01044a4b9","LumiNUS course site")</f>
      </c>
      <c r="F978" s="0" t="s">
        <v>73</v>
      </c>
      <c r="G978" s="0" t="s">
        <v>1735</v>
      </c>
      <c r="H978" s="3">
        <v>170</v>
      </c>
    </row>
    <row r="979">
      <c r="A979" s="0" t="s">
        <v>1847</v>
      </c>
      <c r="B979" s="0" t="s">
        <v>1848</v>
      </c>
      <c r="C979" s="5">
        <f>=HYPERLINK("https://nusmods.com/modules/ECA5103#timetable","Timetable")</f>
      </c>
      <c r="D979" s="5"/>
      <c r="E979" s="5">
        <f>=HYPERLINK("https://luminus.nus.edu.sg/modules/fda1ce6a-6c1b-4208-aa1c-09a593127ff1","LumiNUS course site")</f>
      </c>
      <c r="F979" s="0" t="s">
        <v>73</v>
      </c>
      <c r="G979" s="0" t="s">
        <v>1735</v>
      </c>
      <c r="H979" s="3">
        <v>173</v>
      </c>
    </row>
    <row r="980">
      <c r="A980" s="0" t="s">
        <v>1849</v>
      </c>
      <c r="B980" s="0" t="s">
        <v>1850</v>
      </c>
      <c r="C980" s="5">
        <f>=HYPERLINK("https://nusmods.com/modules/ECA5305#timetable","Timetable")</f>
      </c>
      <c r="D980" s="5"/>
      <c r="E980" s="5">
        <f>=HYPERLINK("https://luminus.nus.edu.sg/modules/0773d04b-4c73-47bb-96c1-9cf197394d1d","LumiNUS course site")</f>
      </c>
      <c r="F980" s="0" t="s">
        <v>73</v>
      </c>
      <c r="G980" s="0" t="s">
        <v>1735</v>
      </c>
      <c r="H980" s="3">
        <v>33</v>
      </c>
    </row>
    <row r="981">
      <c r="A981" s="0" t="s">
        <v>1851</v>
      </c>
      <c r="B981" s="0" t="s">
        <v>1852</v>
      </c>
      <c r="C981" s="5">
        <f>=HYPERLINK("https://nusmods.com/modules/ECA5307#timetable","Timetable")</f>
      </c>
      <c r="D981" s="5">
        <f>=HYPERLINK("https://canvas.nus.edu.sg/courses/26116","Canvas course site")</f>
      </c>
      <c r="E981" s="5"/>
      <c r="F981" s="0" t="s">
        <v>73</v>
      </c>
      <c r="G981" s="0" t="s">
        <v>1735</v>
      </c>
      <c r="H981" s="3">
        <v>52</v>
      </c>
    </row>
    <row r="982">
      <c r="A982" s="0" t="s">
        <v>1853</v>
      </c>
      <c r="B982" s="0" t="s">
        <v>1854</v>
      </c>
      <c r="C982" s="5">
        <f>=HYPERLINK("https://nusmods.com/modules/ECA5333#timetable","Timetable")</f>
      </c>
      <c r="D982" s="5"/>
      <c r="E982" s="5">
        <f>=HYPERLINK("https://luminus.nus.edu.sg/modules/cc4d8083-c4fe-43ef-86b8-37ed26865fae","LumiNUS course site")</f>
      </c>
      <c r="F982" s="0" t="s">
        <v>73</v>
      </c>
      <c r="G982" s="0" t="s">
        <v>1735</v>
      </c>
      <c r="H982" s="3">
        <v>100</v>
      </c>
    </row>
    <row r="983">
      <c r="A983" s="0" t="s">
        <v>1855</v>
      </c>
      <c r="B983" s="0" t="s">
        <v>593</v>
      </c>
      <c r="C983" s="5">
        <f>=HYPERLINK("https://nusmods.com/modules/ECA5334#timetable","Timetable")</f>
      </c>
      <c r="D983" s="5"/>
      <c r="E983" s="5">
        <f>=HYPERLINK("https://luminus.nus.edu.sg/modules/78de76c0-5379-45e4-8298-154e756d9bd1","LumiNUS course site")</f>
      </c>
      <c r="F983" s="0" t="s">
        <v>73</v>
      </c>
      <c r="G983" s="0" t="s">
        <v>1735</v>
      </c>
      <c r="H983" s="3">
        <v>50</v>
      </c>
    </row>
    <row r="984">
      <c r="A984" s="0" t="s">
        <v>1856</v>
      </c>
      <c r="B984" s="0" t="s">
        <v>1857</v>
      </c>
      <c r="C984" s="5">
        <f>=HYPERLINK("https://nusmods.com/modules/ECA5335#timetable","Timetable")</f>
      </c>
      <c r="D984" s="5"/>
      <c r="E984" s="5">
        <f>=HYPERLINK("https://luminus.nus.edu.sg/modules/b7a87bc9-8199-413d-8bb2-ff346143078f","LumiNUS course site")</f>
      </c>
      <c r="F984" s="0" t="s">
        <v>73</v>
      </c>
      <c r="G984" s="0" t="s">
        <v>1735</v>
      </c>
      <c r="H984" s="3">
        <v>35</v>
      </c>
    </row>
    <row r="985">
      <c r="A985" s="0" t="s">
        <v>1858</v>
      </c>
      <c r="B985" s="0" t="s">
        <v>1859</v>
      </c>
      <c r="C985" s="5">
        <f>=HYPERLINK("https://nusmods.com/modules/ECA5371#timetable","Timetable")</f>
      </c>
      <c r="D985" s="5"/>
      <c r="E985" s="5">
        <f>=HYPERLINK("https://luminus.nus.edu.sg/modules/3bb804f0-01eb-48ea-88af-7e6c1a37a45e","LumiNUS course site")</f>
      </c>
      <c r="F985" s="0" t="s">
        <v>73</v>
      </c>
      <c r="G985" s="0" t="s">
        <v>1735</v>
      </c>
      <c r="H985" s="3">
        <v>57</v>
      </c>
    </row>
    <row r="986">
      <c r="A986" s="0" t="s">
        <v>1860</v>
      </c>
      <c r="B986" s="0" t="s">
        <v>1769</v>
      </c>
      <c r="C986" s="5">
        <f>=HYPERLINK("https://nusmods.com/modules/ECA5381#timetable","Timetable")</f>
      </c>
      <c r="D986" s="5"/>
      <c r="E986" s="5">
        <f>=HYPERLINK("https://luminus.nus.edu.sg/modules/2bb6714e-3a46-4837-8cce-5b20fd3811e8","LumiNUS course site")</f>
      </c>
      <c r="F986" s="0" t="s">
        <v>73</v>
      </c>
      <c r="G986" s="0" t="s">
        <v>1735</v>
      </c>
      <c r="H986" s="3">
        <v>48</v>
      </c>
    </row>
    <row r="987">
      <c r="A987" s="0" t="s">
        <v>1861</v>
      </c>
      <c r="B987" s="0" t="s">
        <v>1862</v>
      </c>
      <c r="C987" s="5">
        <f>=HYPERLINK("https://nusmods.com/modules/EE1111A#timetable","Timetable")</f>
      </c>
      <c r="D987" s="5">
        <f>=HYPERLINK("https://canvas.nus.edu.sg/courses/22576","Canvas course site")</f>
      </c>
      <c r="E987" s="5"/>
      <c r="F987" s="0" t="s">
        <v>10</v>
      </c>
      <c r="G987" s="0" t="s">
        <v>911</v>
      </c>
      <c r="H987" s="3">
        <v>218</v>
      </c>
    </row>
    <row r="988">
      <c r="A988" s="0" t="s">
        <v>1863</v>
      </c>
      <c r="B988" s="0" t="s">
        <v>1864</v>
      </c>
      <c r="C988" s="5">
        <f>=HYPERLINK("https://nusmods.com/modules/EE2012#timetable","Timetable")</f>
      </c>
      <c r="D988" s="5"/>
      <c r="E988" s="5">
        <f>=HYPERLINK("https://luminus.nus.edu.sg/modules/6eaf1939-ed8d-4b9e-86bc-e239086aece7","LumiNUS course site")</f>
      </c>
      <c r="F988" s="0" t="s">
        <v>10</v>
      </c>
      <c r="G988" s="0" t="s">
        <v>911</v>
      </c>
      <c r="H988" s="3">
        <v>144</v>
      </c>
    </row>
    <row r="989">
      <c r="A989" s="0" t="s">
        <v>1865</v>
      </c>
      <c r="B989" s="0" t="s">
        <v>1866</v>
      </c>
      <c r="C989" s="5">
        <f>=HYPERLINK("https://nusmods.com/modules/EE2022#timetable","Timetable")</f>
      </c>
      <c r="D989" s="5">
        <f>=HYPERLINK("https://canvas.nus.edu.sg/courses/22581","Canvas course site")</f>
      </c>
      <c r="E989" s="5"/>
      <c r="F989" s="0" t="s">
        <v>10</v>
      </c>
      <c r="G989" s="0" t="s">
        <v>911</v>
      </c>
      <c r="H989" s="3">
        <v>90</v>
      </c>
    </row>
    <row r="990">
      <c r="A990" s="0" t="s">
        <v>1867</v>
      </c>
      <c r="B990" s="0" t="s">
        <v>1868</v>
      </c>
      <c r="C990" s="5">
        <f>=HYPERLINK("https://nusmods.com/modules/EE2023#timetable","Timetable")</f>
      </c>
      <c r="D990" s="5"/>
      <c r="E990" s="5">
        <f>=HYPERLINK("https://luminus.nus.edu.sg/modules/bc22f9f2-fbf0-45c2-9891-bf19464483fd","LumiNUS course site")</f>
      </c>
      <c r="F990" s="0" t="s">
        <v>10</v>
      </c>
      <c r="G990" s="0" t="s">
        <v>911</v>
      </c>
      <c r="H990" s="3">
        <v>91</v>
      </c>
    </row>
    <row r="991">
      <c r="A991" s="0" t="s">
        <v>1869</v>
      </c>
      <c r="B991" s="0" t="s">
        <v>1870</v>
      </c>
      <c r="C991" s="5">
        <f>=HYPERLINK("https://nusmods.com/modules/EE2026#timetable","Timetable")</f>
      </c>
      <c r="D991" s="5"/>
      <c r="E991" s="5">
        <f>=HYPERLINK("https://luminus.nus.edu.sg/modules/88608290-8d7a-4eec-9281-fa2c75b41224","LumiNUS course site")</f>
      </c>
      <c r="F991" s="0" t="s">
        <v>10</v>
      </c>
      <c r="G991" s="0" t="s">
        <v>911</v>
      </c>
      <c r="H991" s="3">
        <v>45</v>
      </c>
    </row>
    <row r="992">
      <c r="A992" s="0" t="s">
        <v>1871</v>
      </c>
      <c r="B992" s="0" t="s">
        <v>1872</v>
      </c>
      <c r="C992" s="5">
        <f>=HYPERLINK("https://nusmods.com/modules/EE2027#timetable","Timetable")</f>
      </c>
      <c r="D992" s="5">
        <f>=HYPERLINK("https://canvas.nus.edu.sg/courses/24032","Canvas course site")</f>
      </c>
      <c r="E992" s="5">
        <f>=HYPERLINK("https://luminus.nus.edu.sg/modules/7651ff14-83e8-4989-bb42-b00ef3d49003","LumiNUS course site")</f>
      </c>
      <c r="F992" s="0" t="s">
        <v>10</v>
      </c>
      <c r="G992" s="0" t="s">
        <v>911</v>
      </c>
      <c r="H992" s="3">
        <v>152</v>
      </c>
    </row>
    <row r="993">
      <c r="A993" s="0" t="s">
        <v>1873</v>
      </c>
      <c r="B993" s="0" t="s">
        <v>1874</v>
      </c>
      <c r="C993" s="5">
        <f>=HYPERLINK("https://nusmods.com/modules/EE2028#timetable","Timetable")</f>
      </c>
      <c r="D993" s="5">
        <f>=HYPERLINK("https://canvas.nus.edu.sg/courses/22592","Canvas course site")</f>
      </c>
      <c r="E993" s="5"/>
      <c r="F993" s="0" t="s">
        <v>10</v>
      </c>
      <c r="G993" s="0" t="s">
        <v>911</v>
      </c>
      <c r="H993" s="3">
        <v>48</v>
      </c>
    </row>
    <row r="994">
      <c r="A994" s="0" t="s">
        <v>1875</v>
      </c>
      <c r="B994" s="0" t="s">
        <v>1876</v>
      </c>
      <c r="C994" s="5">
        <f>=HYPERLINK("https://nusmods.com/modules/EE2033#timetable","Timetable")</f>
      </c>
      <c r="D994" s="5"/>
      <c r="E994" s="5">
        <f>=HYPERLINK("https://luminus.nus.edu.sg/modules/bcbf189a-1ccf-491d-a887-5fbc63575a59","LumiNUS course site")</f>
      </c>
      <c r="F994" s="0" t="s">
        <v>10</v>
      </c>
      <c r="G994" s="0" t="s">
        <v>911</v>
      </c>
      <c r="H994" s="3">
        <v>76</v>
      </c>
    </row>
    <row r="995">
      <c r="A995" s="0" t="s">
        <v>1877</v>
      </c>
      <c r="B995" s="0" t="s">
        <v>1878</v>
      </c>
      <c r="C995" s="5">
        <f>=HYPERLINK("https://nusmods.com/modules/EE2211#timetable","Timetable")</f>
      </c>
      <c r="D995" s="5"/>
      <c r="E995" s="5">
        <f>=HYPERLINK("https://luminus.nus.edu.sg/modules/2079c2e6-df44-4185-9ec7-0c61cdb4e853","LumiNUS course site")</f>
      </c>
      <c r="F995" s="0" t="s">
        <v>10</v>
      </c>
      <c r="G995" s="0" t="s">
        <v>911</v>
      </c>
      <c r="H995" s="3">
        <v>581</v>
      </c>
    </row>
    <row r="996">
      <c r="A996" s="0" t="s">
        <v>1879</v>
      </c>
      <c r="B996" s="0" t="s">
        <v>1880</v>
      </c>
      <c r="C996" s="5">
        <f>=HYPERLINK("https://nusmods.com/modules/EE3031#timetable","Timetable")</f>
      </c>
      <c r="D996" s="5">
        <f>=HYPERLINK("https://canvas.nus.edu.sg/courses/22603","Canvas course site")</f>
      </c>
      <c r="E996" s="5"/>
      <c r="F996" s="0" t="s">
        <v>10</v>
      </c>
      <c r="G996" s="0" t="s">
        <v>911</v>
      </c>
      <c r="H996" s="3">
        <v>99</v>
      </c>
    </row>
    <row r="997">
      <c r="A997" s="0" t="s">
        <v>1881</v>
      </c>
      <c r="B997" s="0" t="s">
        <v>1882</v>
      </c>
      <c r="C997" s="5">
        <f>=HYPERLINK("https://nusmods.com/modules/EE3104C#timetable","Timetable")</f>
      </c>
      <c r="D997" s="5"/>
      <c r="E997" s="5">
        <f>=HYPERLINK("https://luminus.nus.edu.sg/modules/24ff0117-b62c-4b07-be82-c3584c18bfbd","LumiNUS course site")</f>
      </c>
      <c r="F997" s="0" t="s">
        <v>10</v>
      </c>
      <c r="G997" s="0" t="s">
        <v>911</v>
      </c>
      <c r="H997" s="3">
        <v>18</v>
      </c>
    </row>
    <row r="998">
      <c r="A998" s="0" t="s">
        <v>1883</v>
      </c>
      <c r="B998" s="0" t="s">
        <v>1884</v>
      </c>
      <c r="C998" s="5">
        <f>=HYPERLINK("https://nusmods.com/modules/EE3305#timetable","Timetable")</f>
      </c>
      <c r="D998" s="5">
        <f>=HYPERLINK("https://canvas.nus.edu.sg/courses/25959","Canvas course site")</f>
      </c>
      <c r="E998" s="5"/>
      <c r="F998" s="0" t="s">
        <v>10</v>
      </c>
      <c r="G998" s="0" t="s">
        <v>911</v>
      </c>
      <c r="H998" s="3">
        <v>28</v>
      </c>
    </row>
    <row r="999">
      <c r="A999" s="0" t="s">
        <v>1885</v>
      </c>
      <c r="B999" s="0" t="s">
        <v>1886</v>
      </c>
      <c r="C999" s="5">
        <f>=HYPERLINK("https://nusmods.com/modules/EE3306#timetable","Timetable")</f>
      </c>
      <c r="D999" s="5">
        <f>=HYPERLINK("https://canvas.nus.edu.sg/courses/26032","Canvas course site")</f>
      </c>
      <c r="E999" s="5"/>
      <c r="F999" s="0" t="s">
        <v>10</v>
      </c>
      <c r="G999" s="0" t="s">
        <v>911</v>
      </c>
      <c r="H999" s="3">
        <v>8</v>
      </c>
    </row>
    <row r="1000">
      <c r="A1000" s="0" t="s">
        <v>1887</v>
      </c>
      <c r="B1000" s="0" t="s">
        <v>1888</v>
      </c>
      <c r="C1000" s="5">
        <f>=HYPERLINK("https://nusmods.com/modules/EE3331C#timetable","Timetable")</f>
      </c>
      <c r="D1000" s="5"/>
      <c r="E1000" s="5">
        <f>=HYPERLINK("https://luminus.nus.edu.sg/modules/16d13289-8604-4743-b2f6-fd4b5cc43e37","LumiNUS course site")</f>
      </c>
      <c r="F1000" s="0" t="s">
        <v>10</v>
      </c>
      <c r="G1000" s="0" t="s">
        <v>911</v>
      </c>
      <c r="H1000" s="3">
        <v>51</v>
      </c>
    </row>
    <row r="1001">
      <c r="A1001" s="0" t="s">
        <v>1889</v>
      </c>
      <c r="B1001" s="0" t="s">
        <v>1890</v>
      </c>
      <c r="C1001" s="5">
        <f>=HYPERLINK("https://nusmods.com/modules/EE3408C#timetable","Timetable")</f>
      </c>
      <c r="D1001" s="5"/>
      <c r="E1001" s="5">
        <f>=HYPERLINK("https://luminus.nus.edu.sg/modules/c7652350-c9dc-436a-a7ea-3b5db2e27648","LumiNUS course site")</f>
      </c>
      <c r="F1001" s="0" t="s">
        <v>10</v>
      </c>
      <c r="G1001" s="0" t="s">
        <v>911</v>
      </c>
      <c r="H1001" s="3">
        <v>33</v>
      </c>
    </row>
    <row r="1002">
      <c r="A1002" s="0" t="s">
        <v>1891</v>
      </c>
      <c r="B1002" s="0" t="s">
        <v>1892</v>
      </c>
      <c r="C1002" s="5">
        <f>=HYPERLINK("https://nusmods.com/modules/EE3431C#timetable","Timetable")</f>
      </c>
      <c r="D1002" s="5"/>
      <c r="E1002" s="5">
        <f>=HYPERLINK("https://luminus.nus.edu.sg/modules/4c4b5ee5-ed9a-45e1-a694-d8f48f730a1a","LumiNUS course site")</f>
      </c>
      <c r="F1002" s="0" t="s">
        <v>10</v>
      </c>
      <c r="G1002" s="0" t="s">
        <v>911</v>
      </c>
      <c r="H1002" s="3">
        <v>38</v>
      </c>
    </row>
    <row r="1003">
      <c r="A1003" s="0" t="s">
        <v>1893</v>
      </c>
      <c r="B1003" s="0" t="s">
        <v>1894</v>
      </c>
      <c r="C1003" s="5">
        <f>=HYPERLINK("https://nusmods.com/modules/EE3731C#timetable","Timetable")</f>
      </c>
      <c r="D1003" s="5">
        <f>=HYPERLINK("https://canvas.nus.edu.sg/courses/22630","Canvas course site")</f>
      </c>
      <c r="E1003" s="5"/>
      <c r="F1003" s="0" t="s">
        <v>10</v>
      </c>
      <c r="G1003" s="0" t="s">
        <v>911</v>
      </c>
      <c r="H1003" s="3">
        <v>79</v>
      </c>
    </row>
    <row r="1004">
      <c r="A1004" s="0" t="s">
        <v>1895</v>
      </c>
      <c r="B1004" s="0" t="s">
        <v>1896</v>
      </c>
      <c r="C1004" s="5">
        <f>=HYPERLINK("https://nusmods.com/modules/EE3801#timetable","Timetable")</f>
      </c>
      <c r="D1004" s="5"/>
      <c r="E1004" s="5">
        <f>=HYPERLINK("https://luminus.nus.edu.sg/modules/43ac348e-505f-4027-a24d-a8eefb9d46de","LumiNUS course site")</f>
      </c>
      <c r="F1004" s="0" t="s">
        <v>10</v>
      </c>
      <c r="G1004" s="0" t="s">
        <v>911</v>
      </c>
      <c r="H1004" s="3">
        <v>68</v>
      </c>
    </row>
    <row r="1005">
      <c r="A1005" s="0" t="s">
        <v>1897</v>
      </c>
      <c r="B1005" s="0" t="s">
        <v>612</v>
      </c>
      <c r="C1005" s="5">
        <f>=HYPERLINK("https://nusmods.com/modules/EE4001#timetable","Timetable")</f>
      </c>
      <c r="D1005" s="5"/>
      <c r="E1005" s="5"/>
      <c r="F1005" s="0" t="s">
        <v>10</v>
      </c>
      <c r="G1005" s="0" t="s">
        <v>911</v>
      </c>
      <c r="H1005" s="3">
        <v>0</v>
      </c>
    </row>
    <row r="1006">
      <c r="A1006" s="0" t="s">
        <v>1898</v>
      </c>
      <c r="B1006" s="0" t="s">
        <v>1899</v>
      </c>
      <c r="C1006" s="5">
        <f>=HYPERLINK("https://nusmods.com/modules/EE4002D#timetable","Timetable")</f>
      </c>
      <c r="D1006" s="5"/>
      <c r="E1006" s="5">
        <f>=HYPERLINK("https://luminus.nus.edu.sg/modules/b00ea5ea-f2a1-4bcd-95c8-d7b9faa59ca1","LumiNUS course site")</f>
      </c>
      <c r="F1006" s="0" t="s">
        <v>10</v>
      </c>
      <c r="G1006" s="0" t="s">
        <v>911</v>
      </c>
      <c r="H1006" s="3">
        <v>161</v>
      </c>
    </row>
    <row r="1007">
      <c r="A1007" s="0" t="s">
        <v>1900</v>
      </c>
      <c r="B1007" s="0" t="s">
        <v>1901</v>
      </c>
      <c r="C1007" s="5">
        <f>=HYPERLINK("https://nusmods.com/modules/EE4002R#timetable","Timetable")</f>
      </c>
      <c r="D1007" s="5"/>
      <c r="E1007" s="5">
        <f>=HYPERLINK("https://luminus.nus.edu.sg/modules/db90c508-38f3-4ef5-b1e3-90cec5283094","LumiNUS course site")</f>
      </c>
      <c r="F1007" s="0" t="s">
        <v>10</v>
      </c>
      <c r="G1007" s="0" t="s">
        <v>911</v>
      </c>
      <c r="H1007" s="3">
        <v>9</v>
      </c>
    </row>
    <row r="1008">
      <c r="A1008" s="0" t="s">
        <v>1902</v>
      </c>
      <c r="B1008" s="0" t="s">
        <v>1903</v>
      </c>
      <c r="C1008" s="5">
        <f>=HYPERLINK("https://nusmods.com/modules/EE4031#timetable","Timetable")</f>
      </c>
      <c r="D1008" s="5"/>
      <c r="E1008" s="5">
        <f>=HYPERLINK("https://luminus.nus.edu.sg/modules/cb90dc8e-3d10-4212-9986-6d99e409cb08","LumiNUS course site")</f>
      </c>
      <c r="F1008" s="0" t="s">
        <v>10</v>
      </c>
      <c r="G1008" s="0" t="s">
        <v>911</v>
      </c>
      <c r="H1008" s="3">
        <v>18</v>
      </c>
    </row>
    <row r="1009">
      <c r="A1009" s="0" t="s">
        <v>1904</v>
      </c>
      <c r="B1009" s="0" t="s">
        <v>1905</v>
      </c>
      <c r="C1009" s="5">
        <f>=HYPERLINK("https://nusmods.com/modules/EE4032#timetable","Timetable")</f>
      </c>
      <c r="D1009" s="5"/>
      <c r="E1009" s="5">
        <f>=HYPERLINK("https://luminus.nus.edu.sg/modules/b977be14-4d06-4f46-b7e7-3806d4ab69eb","LumiNUS course site")</f>
      </c>
      <c r="F1009" s="0" t="s">
        <v>10</v>
      </c>
      <c r="G1009" s="0" t="s">
        <v>911</v>
      </c>
      <c r="H1009" s="3">
        <v>58</v>
      </c>
    </row>
    <row r="1010">
      <c r="A1010" s="0" t="s">
        <v>1906</v>
      </c>
      <c r="B1010" s="0" t="s">
        <v>1907</v>
      </c>
      <c r="C1010" s="5">
        <f>=HYPERLINK("https://nusmods.com/modules/EE4101#timetable","Timetable")</f>
      </c>
      <c r="D1010" s="5"/>
      <c r="E1010" s="5">
        <f>=HYPERLINK("https://luminus.nus.edu.sg/modules/f0dac3d7-1716-48db-8725-74064b7d03aa","LumiNUS course site")</f>
      </c>
      <c r="F1010" s="0" t="s">
        <v>10</v>
      </c>
      <c r="G1010" s="0" t="s">
        <v>911</v>
      </c>
      <c r="H1010" s="3">
        <v>21</v>
      </c>
    </row>
    <row r="1011">
      <c r="A1011" s="0" t="s">
        <v>1908</v>
      </c>
      <c r="B1011" s="0" t="s">
        <v>1909</v>
      </c>
      <c r="C1011" s="5">
        <f>=HYPERLINK("https://nusmods.com/modules/EE4112#timetable","Timetable")</f>
      </c>
      <c r="D1011" s="5"/>
      <c r="E1011" s="5">
        <f>=HYPERLINK("https://luminus.nus.edu.sg/modules/9f6186d3-5c8d-4410-85df-78386f76c00b","LumiNUS course site")</f>
      </c>
      <c r="F1011" s="0" t="s">
        <v>10</v>
      </c>
      <c r="G1011" s="0" t="s">
        <v>911</v>
      </c>
      <c r="H1011" s="3">
        <v>5</v>
      </c>
    </row>
    <row r="1012">
      <c r="A1012" s="0" t="s">
        <v>1910</v>
      </c>
      <c r="B1012" s="0" t="s">
        <v>1911</v>
      </c>
      <c r="C1012" s="5">
        <f>=HYPERLINK("https://nusmods.com/modules/EE4204#timetable","Timetable")</f>
      </c>
      <c r="D1012" s="5"/>
      <c r="E1012" s="5">
        <f>=HYPERLINK("https://luminus.nus.edu.sg/modules/61cbdc64-9ebb-4cf3-98cb-e05d9390fadd","LumiNUS course site")</f>
      </c>
      <c r="F1012" s="0" t="s">
        <v>10</v>
      </c>
      <c r="G1012" s="0" t="s">
        <v>911</v>
      </c>
      <c r="H1012" s="3">
        <v>135</v>
      </c>
    </row>
    <row r="1013">
      <c r="A1013" s="0" t="s">
        <v>1912</v>
      </c>
      <c r="B1013" s="0" t="s">
        <v>1911</v>
      </c>
      <c r="C1013" s="5">
        <f>=HYPERLINK("https://nusmods.com/modules/EE4204E#timetable","Timetable")</f>
      </c>
      <c r="D1013" s="5"/>
      <c r="E1013" s="5">
        <f>=HYPERLINK("https://luminus.nus.edu.sg/modules/fd49d83d-91d9-4800-a30e-2269db365bf0","LumiNUS course site")</f>
      </c>
      <c r="F1013" s="0" t="s">
        <v>1173</v>
      </c>
      <c r="G1013" s="0" t="s">
        <v>1174</v>
      </c>
      <c r="H1013" s="3">
        <v>0</v>
      </c>
    </row>
    <row r="1014">
      <c r="A1014" s="0" t="s">
        <v>1913</v>
      </c>
      <c r="B1014" s="0" t="s">
        <v>1914</v>
      </c>
      <c r="C1014" s="5">
        <f>=HYPERLINK("https://nusmods.com/modules/EE4211#timetable","Timetable")</f>
      </c>
      <c r="D1014" s="5"/>
      <c r="E1014" s="5">
        <f>=HYPERLINK("https://luminus.nus.edu.sg/modules/60cb9ce6-8fcd-47a7-9840-bbeee2fe1ad5","LumiNUS course site")</f>
      </c>
      <c r="F1014" s="0" t="s">
        <v>10</v>
      </c>
      <c r="G1014" s="0" t="s">
        <v>911</v>
      </c>
      <c r="H1014" s="3">
        <v>145</v>
      </c>
    </row>
    <row r="1015">
      <c r="A1015" s="0" t="s">
        <v>1915</v>
      </c>
      <c r="B1015" s="0" t="s">
        <v>1916</v>
      </c>
      <c r="C1015" s="5">
        <f>=HYPERLINK("https://nusmods.com/modules/EE4302#timetable","Timetable")</f>
      </c>
      <c r="D1015" s="5"/>
      <c r="E1015" s="5">
        <f>=HYPERLINK("https://luminus.nus.edu.sg/modules/2ea26525-9bc4-4f5a-be70-66f51722d126","LumiNUS course site")</f>
      </c>
      <c r="F1015" s="0" t="s">
        <v>10</v>
      </c>
      <c r="G1015" s="0" t="s">
        <v>911</v>
      </c>
      <c r="H1015" s="3">
        <v>19</v>
      </c>
    </row>
    <row r="1016">
      <c r="A1016" s="0" t="s">
        <v>1917</v>
      </c>
      <c r="B1016" s="0" t="s">
        <v>1918</v>
      </c>
      <c r="C1016" s="5">
        <f>=HYPERLINK("https://nusmods.com/modules/EE4303#timetable","Timetable")</f>
      </c>
      <c r="D1016" s="5"/>
      <c r="E1016" s="5">
        <f>=HYPERLINK("https://luminus.nus.edu.sg/modules/01063700-4973-4b77-8f01-24976d26deb7","LumiNUS course site")</f>
      </c>
      <c r="F1016" s="0" t="s">
        <v>10</v>
      </c>
      <c r="G1016" s="0" t="s">
        <v>911</v>
      </c>
      <c r="H1016" s="3">
        <v>13</v>
      </c>
    </row>
    <row r="1017">
      <c r="A1017" s="0" t="s">
        <v>1919</v>
      </c>
      <c r="B1017" s="0" t="s">
        <v>1920</v>
      </c>
      <c r="C1017" s="5">
        <f>=HYPERLINK("https://nusmods.com/modules/EE4309#timetable","Timetable")</f>
      </c>
      <c r="D1017" s="5"/>
      <c r="E1017" s="5">
        <f>=HYPERLINK("https://luminus.nus.edu.sg/modules/a0799b16-260d-449e-b0ce-ded91d00b974","LumiNUS course site")</f>
      </c>
      <c r="F1017" s="0" t="s">
        <v>10</v>
      </c>
      <c r="G1017" s="0" t="s">
        <v>911</v>
      </c>
      <c r="H1017" s="3">
        <v>25</v>
      </c>
    </row>
    <row r="1018">
      <c r="A1018" s="0" t="s">
        <v>1921</v>
      </c>
      <c r="B1018" s="0" t="s">
        <v>1922</v>
      </c>
      <c r="C1018" s="5">
        <f>=HYPERLINK("https://nusmods.com/modules/EE4435#timetable","Timetable")</f>
      </c>
      <c r="D1018" s="5"/>
      <c r="E1018" s="5">
        <f>=HYPERLINK("https://luminus.nus.edu.sg/modules/6a704c53-a46e-4baf-ab3c-24cad0c77c38","LumiNUS course site")</f>
      </c>
      <c r="F1018" s="0" t="s">
        <v>10</v>
      </c>
      <c r="G1018" s="0" t="s">
        <v>911</v>
      </c>
      <c r="H1018" s="3">
        <v>33</v>
      </c>
    </row>
    <row r="1019">
      <c r="A1019" s="0" t="s">
        <v>1923</v>
      </c>
      <c r="B1019" s="0" t="s">
        <v>1924</v>
      </c>
      <c r="C1019" s="5">
        <f>=HYPERLINK("https://nusmods.com/modules/EE4436#timetable","Timetable")</f>
      </c>
      <c r="D1019" s="5"/>
      <c r="E1019" s="5">
        <f>=HYPERLINK("https://luminus.nus.edu.sg/modules/27dde93f-08b0-40c0-aff6-b00f65018b34","LumiNUS course site")</f>
      </c>
      <c r="F1019" s="0" t="s">
        <v>10</v>
      </c>
      <c r="G1019" s="0" t="s">
        <v>911</v>
      </c>
      <c r="H1019" s="3">
        <v>31</v>
      </c>
    </row>
    <row r="1020">
      <c r="A1020" s="0" t="s">
        <v>1925</v>
      </c>
      <c r="B1020" s="0" t="s">
        <v>1924</v>
      </c>
      <c r="C1020" s="5">
        <f>=HYPERLINK("https://nusmods.com/modules/EE4436E#timetable","Timetable")</f>
      </c>
      <c r="D1020" s="5"/>
      <c r="E1020" s="5">
        <f>=HYPERLINK("https://luminus.nus.edu.sg/modules/d104f5f9-ac0c-4af6-a2c9-fef6baefb45d","LumiNUS course site")</f>
      </c>
      <c r="F1020" s="0" t="s">
        <v>1173</v>
      </c>
      <c r="G1020" s="0" t="s">
        <v>1174</v>
      </c>
      <c r="H1020" s="3">
        <v>0</v>
      </c>
    </row>
    <row r="1021">
      <c r="A1021" s="0" t="s">
        <v>1926</v>
      </c>
      <c r="B1021" s="0" t="s">
        <v>1927</v>
      </c>
      <c r="C1021" s="5">
        <f>=HYPERLINK("https://nusmods.com/modules/EE4501#timetable","Timetable")</f>
      </c>
      <c r="D1021" s="5"/>
      <c r="E1021" s="5">
        <f>=HYPERLINK("https://luminus.nus.edu.sg/modules/19ec0ee9-d424-4f3a-9e99-29bb4d07a830","LumiNUS course site")</f>
      </c>
      <c r="F1021" s="0" t="s">
        <v>10</v>
      </c>
      <c r="G1021" s="0" t="s">
        <v>911</v>
      </c>
      <c r="H1021" s="3">
        <v>30</v>
      </c>
    </row>
    <row r="1022">
      <c r="A1022" s="0" t="s">
        <v>1928</v>
      </c>
      <c r="B1022" s="0" t="s">
        <v>1929</v>
      </c>
      <c r="C1022" s="5">
        <f>=HYPERLINK("https://nusmods.com/modules/EE4502#timetable","Timetable")</f>
      </c>
      <c r="D1022" s="5">
        <f>=HYPERLINK("https://canvas.nus.edu.sg/courses/22697","Canvas course site")</f>
      </c>
      <c r="E1022" s="5"/>
      <c r="F1022" s="0" t="s">
        <v>10</v>
      </c>
      <c r="G1022" s="0" t="s">
        <v>911</v>
      </c>
      <c r="H1022" s="3">
        <v>31</v>
      </c>
    </row>
    <row r="1023">
      <c r="A1023" s="0" t="s">
        <v>1930</v>
      </c>
      <c r="B1023" s="0" t="s">
        <v>1931</v>
      </c>
      <c r="C1023" s="5">
        <f>=HYPERLINK("https://nusmods.com/modules/EE4704#timetable","Timetable")</f>
      </c>
      <c r="D1023" s="5"/>
      <c r="E1023" s="5">
        <f>=HYPERLINK("https://luminus.nus.edu.sg/modules/2d42ca61-2d39-4f63-a99e-a94668a8e219","LumiNUS course site")</f>
      </c>
      <c r="F1023" s="0" t="s">
        <v>10</v>
      </c>
      <c r="G1023" s="0" t="s">
        <v>911</v>
      </c>
      <c r="H1023" s="3">
        <v>76</v>
      </c>
    </row>
    <row r="1024">
      <c r="A1024" s="0" t="s">
        <v>1932</v>
      </c>
      <c r="B1024" s="0" t="s">
        <v>1933</v>
      </c>
      <c r="C1024" s="5">
        <f>=HYPERLINK("https://nusmods.com/modules/EE4705#timetable","Timetable")</f>
      </c>
      <c r="D1024" s="5"/>
      <c r="E1024" s="5">
        <f>=HYPERLINK("https://luminus.nus.edu.sg/modules/db410ebb-e8d7-4ea9-afa4-b6100d4e8ea0","LumiNUS course site")</f>
      </c>
      <c r="F1024" s="0" t="s">
        <v>10</v>
      </c>
      <c r="G1024" s="0" t="s">
        <v>911</v>
      </c>
      <c r="H1024" s="3">
        <v>39</v>
      </c>
    </row>
    <row r="1025">
      <c r="A1025" s="0" t="s">
        <v>1934</v>
      </c>
      <c r="B1025" s="0" t="s">
        <v>1935</v>
      </c>
      <c r="C1025" s="5">
        <f>=HYPERLINK("https://nusmods.com/modules/EE5001#timetable","Timetable")</f>
      </c>
      <c r="D1025" s="5"/>
      <c r="E1025" s="5"/>
      <c r="F1025" s="0" t="s">
        <v>10</v>
      </c>
      <c r="G1025" s="0" t="s">
        <v>911</v>
      </c>
      <c r="H1025" s="3">
        <v>2</v>
      </c>
    </row>
    <row r="1026">
      <c r="A1026" s="0" t="s">
        <v>1936</v>
      </c>
      <c r="B1026" s="0" t="s">
        <v>1937</v>
      </c>
      <c r="C1026" s="5">
        <f>=HYPERLINK("https://nusmods.com/modules/EE5002#timetable","Timetable")</f>
      </c>
      <c r="D1026" s="5"/>
      <c r="E1026" s="5"/>
      <c r="F1026" s="0" t="s">
        <v>10</v>
      </c>
      <c r="G1026" s="0" t="s">
        <v>911</v>
      </c>
      <c r="H1026" s="3">
        <v>1</v>
      </c>
    </row>
    <row r="1027">
      <c r="A1027" s="0" t="s">
        <v>1938</v>
      </c>
      <c r="B1027" s="0" t="s">
        <v>1939</v>
      </c>
      <c r="C1027" s="5">
        <f>=HYPERLINK("https://nusmods.com/modules/EE5003#timetable","Timetable")</f>
      </c>
      <c r="D1027" s="5"/>
      <c r="E1027" s="5"/>
      <c r="F1027" s="0" t="s">
        <v>10</v>
      </c>
      <c r="G1027" s="0" t="s">
        <v>911</v>
      </c>
      <c r="H1027" s="3">
        <v>149</v>
      </c>
    </row>
    <row r="1028">
      <c r="A1028" s="0" t="s">
        <v>1940</v>
      </c>
      <c r="B1028" s="0" t="s">
        <v>1941</v>
      </c>
      <c r="C1028" s="5">
        <f>=HYPERLINK("https://nusmods.com/modules/EE5025#timetable","Timetable")</f>
      </c>
      <c r="D1028" s="5"/>
      <c r="E1028" s="5">
        <f>=HYPERLINK("https://luminus.nus.edu.sg/modules/86f774d8-c100-42d9-80ff-d8af3c9abfb0","LumiNUS course site")</f>
      </c>
      <c r="F1028" s="0" t="s">
        <v>10</v>
      </c>
      <c r="G1028" s="0" t="s">
        <v>911</v>
      </c>
      <c r="H1028" s="3">
        <v>11</v>
      </c>
    </row>
    <row r="1029">
      <c r="A1029" s="0" t="s">
        <v>1942</v>
      </c>
      <c r="B1029" s="0" t="s">
        <v>1943</v>
      </c>
      <c r="C1029" s="5">
        <f>=HYPERLINK("https://nusmods.com/modules/EE5026#timetable","Timetable")</f>
      </c>
      <c r="D1029" s="5"/>
      <c r="E1029" s="5"/>
      <c r="F1029" s="0" t="s">
        <v>10</v>
      </c>
      <c r="G1029" s="0" t="s">
        <v>911</v>
      </c>
      <c r="H1029" s="3">
        <v>0</v>
      </c>
    </row>
    <row r="1030">
      <c r="A1030" s="0" t="s">
        <v>1944</v>
      </c>
      <c r="B1030" s="0" t="s">
        <v>1945</v>
      </c>
      <c r="C1030" s="5">
        <f>=HYPERLINK("https://nusmods.com/modules/EE5027#timetable","Timetable")</f>
      </c>
      <c r="D1030" s="5"/>
      <c r="E1030" s="5">
        <f>=HYPERLINK("https://luminus.nus.edu.sg/modules/32318aad-3125-4647-9bb3-b11dec012f10","LumiNUS course site")</f>
      </c>
      <c r="F1030" s="0" t="s">
        <v>10</v>
      </c>
      <c r="G1030" s="0" t="s">
        <v>911</v>
      </c>
      <c r="H1030" s="3">
        <v>21</v>
      </c>
    </row>
    <row r="1031">
      <c r="A1031" s="0" t="s">
        <v>1946</v>
      </c>
      <c r="B1031" s="0" t="s">
        <v>1947</v>
      </c>
      <c r="C1031" s="5">
        <f>=HYPERLINK("https://nusmods.com/modules/EE5028#timetable","Timetable")</f>
      </c>
      <c r="D1031" s="5"/>
      <c r="E1031" s="5"/>
      <c r="F1031" s="0" t="s">
        <v>10</v>
      </c>
      <c r="G1031" s="0" t="s">
        <v>911</v>
      </c>
      <c r="H1031" s="3">
        <v>0</v>
      </c>
    </row>
    <row r="1032">
      <c r="A1032" s="0" t="s">
        <v>1948</v>
      </c>
      <c r="B1032" s="0" t="s">
        <v>1949</v>
      </c>
      <c r="C1032" s="5">
        <f>=HYPERLINK("https://nusmods.com/modules/EE5040#timetable","Timetable")</f>
      </c>
      <c r="D1032" s="5">
        <f>=HYPERLINK("https://canvas.nus.edu.sg/courses/22808","Canvas course site")</f>
      </c>
      <c r="E1032" s="5"/>
      <c r="F1032" s="0" t="s">
        <v>10</v>
      </c>
      <c r="G1032" s="0" t="s">
        <v>911</v>
      </c>
      <c r="H1032" s="3">
        <v>0</v>
      </c>
    </row>
    <row r="1033">
      <c r="A1033" s="0" t="s">
        <v>1950</v>
      </c>
      <c r="B1033" s="0" t="s">
        <v>1951</v>
      </c>
      <c r="C1033" s="5">
        <f>=HYPERLINK("https://nusmods.com/modules/EE5041#timetable","Timetable")</f>
      </c>
      <c r="D1033" s="5"/>
      <c r="E1033" s="5"/>
      <c r="F1033" s="0" t="s">
        <v>10</v>
      </c>
      <c r="G1033" s="0" t="s">
        <v>911</v>
      </c>
      <c r="H1033" s="3">
        <v>0</v>
      </c>
    </row>
    <row r="1034">
      <c r="A1034" s="0" t="s">
        <v>1952</v>
      </c>
      <c r="B1034" s="0" t="s">
        <v>1953</v>
      </c>
      <c r="C1034" s="5">
        <f>=HYPERLINK("https://nusmods.com/modules/EE5045#timetable","Timetable")</f>
      </c>
      <c r="D1034" s="5"/>
      <c r="E1034" s="5"/>
      <c r="F1034" s="0" t="s">
        <v>10</v>
      </c>
      <c r="G1034" s="0" t="s">
        <v>911</v>
      </c>
      <c r="H1034" s="3">
        <v>0</v>
      </c>
    </row>
    <row r="1035">
      <c r="A1035" s="0" t="s">
        <v>1954</v>
      </c>
      <c r="B1035" s="0" t="s">
        <v>1955</v>
      </c>
      <c r="C1035" s="5">
        <f>=HYPERLINK("https://nusmods.com/modules/EE5060#timetable","Timetable")</f>
      </c>
      <c r="D1035" s="5">
        <f>=HYPERLINK("https://canvas.nus.edu.sg/courses/22770","Canvas course site")</f>
      </c>
      <c r="E1035" s="5"/>
      <c r="F1035" s="0" t="s">
        <v>10</v>
      </c>
      <c r="G1035" s="0" t="s">
        <v>911</v>
      </c>
      <c r="H1035" s="3">
        <v>10</v>
      </c>
    </row>
    <row r="1036">
      <c r="A1036" s="0" t="s">
        <v>1956</v>
      </c>
      <c r="B1036" s="0" t="s">
        <v>1957</v>
      </c>
      <c r="C1036" s="5">
        <f>=HYPERLINK("https://nusmods.com/modules/EE5061#timetable","Timetable")</f>
      </c>
      <c r="D1036" s="5">
        <f>=HYPERLINK("https://canvas.nus.edu.sg/courses/22770","Canvas course site")</f>
      </c>
      <c r="E1036" s="5"/>
      <c r="F1036" s="0" t="s">
        <v>10</v>
      </c>
      <c r="G1036" s="0" t="s">
        <v>911</v>
      </c>
      <c r="H1036" s="3">
        <v>9</v>
      </c>
    </row>
    <row r="1037">
      <c r="A1037" s="0" t="s">
        <v>1958</v>
      </c>
      <c r="B1037" s="0" t="s">
        <v>1959</v>
      </c>
      <c r="C1037" s="5">
        <f>=HYPERLINK("https://nusmods.com/modules/EE5062#timetable","Timetable")</f>
      </c>
      <c r="D1037" s="5"/>
      <c r="E1037" s="5">
        <f>=HYPERLINK("https://luminus.nus.edu.sg/modules/eb7baa3e-9069-4f06-a983-2a1bb200d679","LumiNUS course site")</f>
      </c>
      <c r="F1037" s="0" t="s">
        <v>10</v>
      </c>
      <c r="G1037" s="0" t="s">
        <v>911</v>
      </c>
      <c r="H1037" s="3">
        <v>16</v>
      </c>
    </row>
    <row r="1038">
      <c r="A1038" s="0" t="s">
        <v>1960</v>
      </c>
      <c r="B1038" s="0" t="s">
        <v>1961</v>
      </c>
      <c r="C1038" s="5">
        <f>=HYPERLINK("https://nusmods.com/modules/EE5101#timetable","Timetable")</f>
      </c>
      <c r="D1038" s="5">
        <f>=HYPERLINK("https://canvas.nus.edu.sg/courses/25970","Canvas course site")</f>
      </c>
      <c r="E1038" s="5"/>
      <c r="F1038" s="0" t="s">
        <v>10</v>
      </c>
      <c r="G1038" s="0" t="s">
        <v>911</v>
      </c>
      <c r="H1038" s="3">
        <v>106</v>
      </c>
    </row>
    <row r="1039">
      <c r="A1039" s="0" t="s">
        <v>1962</v>
      </c>
      <c r="B1039" s="0" t="s">
        <v>1963</v>
      </c>
      <c r="C1039" s="5">
        <f>=HYPERLINK("https://nusmods.com/modules/EE5103#timetable","Timetable")</f>
      </c>
      <c r="D1039" s="5"/>
      <c r="E1039" s="5">
        <f>=HYPERLINK("https://luminus.nus.edu.sg/modules/fa52b576-ca50-43a3-b39e-0d9ffe974888","LumiNUS course site")</f>
      </c>
      <c r="F1039" s="0" t="s">
        <v>10</v>
      </c>
      <c r="G1039" s="0" t="s">
        <v>911</v>
      </c>
      <c r="H1039" s="3">
        <v>78</v>
      </c>
    </row>
    <row r="1040">
      <c r="A1040" s="0" t="s">
        <v>1964</v>
      </c>
      <c r="B1040" s="0" t="s">
        <v>1965</v>
      </c>
      <c r="C1040" s="5">
        <f>=HYPERLINK("https://nusmods.com/modules/EE5110#timetable","Timetable")</f>
      </c>
      <c r="D1040" s="5"/>
      <c r="E1040" s="5">
        <f>=HYPERLINK("https://luminus.nus.edu.sg/modules/eb7baa3e-9069-4f06-a983-2a1bb200d679","LumiNUS course site")</f>
      </c>
      <c r="F1040" s="0" t="s">
        <v>10</v>
      </c>
      <c r="G1040" s="0" t="s">
        <v>911</v>
      </c>
      <c r="H1040" s="3">
        <v>34</v>
      </c>
    </row>
    <row r="1041">
      <c r="A1041" s="0" t="s">
        <v>1966</v>
      </c>
      <c r="B1041" s="0" t="s">
        <v>1967</v>
      </c>
      <c r="C1041" s="5">
        <f>=HYPERLINK("https://nusmods.com/modules/EE5111#timetable","Timetable")</f>
      </c>
      <c r="D1041" s="5">
        <f>=HYPERLINK("https://canvas.nus.edu.sg/courses/22770","Canvas course site")</f>
      </c>
      <c r="E1041" s="5"/>
      <c r="F1041" s="0" t="s">
        <v>10</v>
      </c>
      <c r="G1041" s="0" t="s">
        <v>911</v>
      </c>
      <c r="H1041" s="3">
        <v>47</v>
      </c>
    </row>
    <row r="1042">
      <c r="A1042" s="0" t="s">
        <v>1968</v>
      </c>
      <c r="B1042" s="0" t="s">
        <v>1969</v>
      </c>
      <c r="C1042" s="5">
        <f>=HYPERLINK("https://nusmods.com/modules/EE5139#timetable","Timetable")</f>
      </c>
      <c r="D1042" s="5"/>
      <c r="E1042" s="5">
        <f>=HYPERLINK("https://luminus.nus.edu.sg/modules/5dd52d43-6da2-4cc0-a69c-cc3f95f02367","LumiNUS course site")</f>
      </c>
      <c r="F1042" s="0" t="s">
        <v>10</v>
      </c>
      <c r="G1042" s="0" t="s">
        <v>911</v>
      </c>
      <c r="H1042" s="3">
        <v>53</v>
      </c>
    </row>
    <row r="1043">
      <c r="A1043" s="0" t="s">
        <v>1970</v>
      </c>
      <c r="B1043" s="0" t="s">
        <v>1971</v>
      </c>
      <c r="C1043" s="5">
        <f>=HYPERLINK("https://nusmods.com/modules/EE5303#timetable","Timetable")</f>
      </c>
      <c r="D1043" s="5"/>
      <c r="E1043" s="5">
        <f>=HYPERLINK("https://luminus.nus.edu.sg/modules/1fefaae6-485d-48ab-9a5d-3f742786d8c5","LumiNUS course site")</f>
      </c>
      <c r="F1043" s="0" t="s">
        <v>10</v>
      </c>
      <c r="G1043" s="0" t="s">
        <v>911</v>
      </c>
      <c r="H1043" s="3">
        <v>107</v>
      </c>
    </row>
    <row r="1044">
      <c r="A1044" s="0" t="s">
        <v>1972</v>
      </c>
      <c r="B1044" s="0" t="s">
        <v>1973</v>
      </c>
      <c r="C1044" s="5">
        <f>=HYPERLINK("https://nusmods.com/modules/EE5308#timetable","Timetable")</f>
      </c>
      <c r="D1044" s="5"/>
      <c r="E1044" s="5">
        <f>=HYPERLINK("https://luminus.nus.edu.sg/modules/c3af002a-c8bb-4da0-acad-27ff897edb7b","LumiNUS course site")</f>
      </c>
      <c r="F1044" s="0" t="s">
        <v>10</v>
      </c>
      <c r="G1044" s="0" t="s">
        <v>911</v>
      </c>
      <c r="H1044" s="3">
        <v>75</v>
      </c>
    </row>
    <row r="1045">
      <c r="A1045" s="0" t="s">
        <v>1974</v>
      </c>
      <c r="B1045" s="0" t="s">
        <v>1975</v>
      </c>
      <c r="C1045" s="5">
        <f>=HYPERLINK("https://nusmods.com/modules/EE5502#timetable","Timetable")</f>
      </c>
      <c r="D1045" s="5"/>
      <c r="E1045" s="5">
        <f>=HYPERLINK("https://luminus.nus.edu.sg/modules/66800035-1e49-4a9c-86e7-9faac0d90eff","LumiNUS course site")</f>
      </c>
      <c r="F1045" s="0" t="s">
        <v>10</v>
      </c>
      <c r="G1045" s="0" t="s">
        <v>911</v>
      </c>
      <c r="H1045" s="3">
        <v>124</v>
      </c>
    </row>
    <row r="1046">
      <c r="A1046" s="0" t="s">
        <v>1976</v>
      </c>
      <c r="B1046" s="0" t="s">
        <v>1977</v>
      </c>
      <c r="C1046" s="5">
        <f>=HYPERLINK("https://nusmods.com/modules/EE5508#timetable","Timetable")</f>
      </c>
      <c r="D1046" s="5"/>
      <c r="E1046" s="5">
        <f>=HYPERLINK("https://luminus.nus.edu.sg/modules/42ef8d86-8fb5-4c1c-b172-cbc7704fa4f9","LumiNUS course site")</f>
      </c>
      <c r="F1046" s="0" t="s">
        <v>10</v>
      </c>
      <c r="G1046" s="0" t="s">
        <v>911</v>
      </c>
      <c r="H1046" s="3">
        <v>97</v>
      </c>
    </row>
    <row r="1047">
      <c r="A1047" s="0" t="s">
        <v>1978</v>
      </c>
      <c r="B1047" s="0" t="s">
        <v>1979</v>
      </c>
      <c r="C1047" s="5">
        <f>=HYPERLINK("https://nusmods.com/modules/EE5518#timetable","Timetable")</f>
      </c>
      <c r="D1047" s="5"/>
      <c r="E1047" s="5">
        <f>=HYPERLINK("https://luminus.nus.edu.sg/modules/162cec94-ec7a-4e89-90d9-e5a4d3676775","LumiNUS course site")</f>
      </c>
      <c r="F1047" s="0" t="s">
        <v>10</v>
      </c>
      <c r="G1047" s="0" t="s">
        <v>911</v>
      </c>
      <c r="H1047" s="3">
        <v>115</v>
      </c>
    </row>
    <row r="1048">
      <c r="A1048" s="0" t="s">
        <v>1980</v>
      </c>
      <c r="B1048" s="0" t="s">
        <v>647</v>
      </c>
      <c r="C1048" s="5">
        <f>=HYPERLINK("https://nusmods.com/modules/EE5666#timetable","Timetable")</f>
      </c>
      <c r="D1048" s="5"/>
      <c r="E1048" s="5"/>
      <c r="F1048" s="0" t="s">
        <v>10</v>
      </c>
      <c r="G1048" s="0" t="s">
        <v>911</v>
      </c>
      <c r="H1048" s="3">
        <v>0</v>
      </c>
    </row>
    <row r="1049">
      <c r="A1049" s="0" t="s">
        <v>1981</v>
      </c>
      <c r="B1049" s="0" t="s">
        <v>1982</v>
      </c>
      <c r="C1049" s="5">
        <f>=HYPERLINK("https://nusmods.com/modules/EE5702#timetable","Timetable")</f>
      </c>
      <c r="D1049" s="5">
        <f>=HYPERLINK("https://canvas.nus.edu.sg/courses/22808","Canvas course site")</f>
      </c>
      <c r="E1049" s="5"/>
      <c r="F1049" s="0" t="s">
        <v>10</v>
      </c>
      <c r="G1049" s="0" t="s">
        <v>911</v>
      </c>
      <c r="H1049" s="3">
        <v>22</v>
      </c>
    </row>
    <row r="1050">
      <c r="A1050" s="0" t="s">
        <v>1983</v>
      </c>
      <c r="B1050" s="0" t="s">
        <v>1984</v>
      </c>
      <c r="C1050" s="5">
        <f>=HYPERLINK("https://nusmods.com/modules/EE5703#timetable","Timetable")</f>
      </c>
      <c r="D1050" s="5">
        <f>=HYPERLINK("https://canvas.nus.edu.sg/courses/22813","Canvas course site")</f>
      </c>
      <c r="E1050" s="5"/>
      <c r="F1050" s="0" t="s">
        <v>10</v>
      </c>
      <c r="G1050" s="0" t="s">
        <v>911</v>
      </c>
      <c r="H1050" s="3">
        <v>27</v>
      </c>
    </row>
    <row r="1051">
      <c r="A1051" s="0" t="s">
        <v>1985</v>
      </c>
      <c r="B1051" s="0" t="s">
        <v>1986</v>
      </c>
      <c r="C1051" s="5">
        <f>=HYPERLINK("https://nusmods.com/modules/EE5731#timetable","Timetable")</f>
      </c>
      <c r="D1051" s="5"/>
      <c r="E1051" s="5">
        <f>=HYPERLINK("https://luminus.nus.edu.sg/modules/9c44e05b-22f7-4a2a-993c-25a0e3ce21c6","LumiNUS course site")</f>
      </c>
      <c r="F1051" s="0" t="s">
        <v>10</v>
      </c>
      <c r="G1051" s="0" t="s">
        <v>911</v>
      </c>
      <c r="H1051" s="3">
        <v>106</v>
      </c>
    </row>
    <row r="1052">
      <c r="A1052" s="0" t="s">
        <v>1987</v>
      </c>
      <c r="B1052" s="0" t="s">
        <v>1988</v>
      </c>
      <c r="C1052" s="5">
        <f>=HYPERLINK("https://nusmods.com/modules/EE5831#timetable","Timetable")</f>
      </c>
      <c r="D1052" s="5"/>
      <c r="E1052" s="5">
        <f>=HYPERLINK("https://luminus.nus.edu.sg/modules/6a6f1adb-1675-4bac-a1b6-03a5f2a0863d","LumiNUS course site")</f>
      </c>
      <c r="F1052" s="0" t="s">
        <v>10</v>
      </c>
      <c r="G1052" s="0" t="s">
        <v>911</v>
      </c>
      <c r="H1052" s="3">
        <v>69</v>
      </c>
    </row>
    <row r="1053">
      <c r="A1053" s="0" t="s">
        <v>1989</v>
      </c>
      <c r="B1053" s="0" t="s">
        <v>1990</v>
      </c>
      <c r="C1053" s="5">
        <f>=HYPERLINK("https://nusmods.com/modules/EE5907#timetable","Timetable")</f>
      </c>
      <c r="D1053" s="5"/>
      <c r="E1053" s="5">
        <f>=HYPERLINK("https://luminus.nus.edu.sg/modules/7429cf41-4480-4edf-86ae-5d9b88c4ef0e","LumiNUS course site")</f>
      </c>
      <c r="F1053" s="0" t="s">
        <v>10</v>
      </c>
      <c r="G1053" s="0" t="s">
        <v>911</v>
      </c>
      <c r="H1053" s="3">
        <v>191</v>
      </c>
    </row>
    <row r="1054">
      <c r="A1054" s="0" t="s">
        <v>1991</v>
      </c>
      <c r="B1054" s="0" t="s">
        <v>649</v>
      </c>
      <c r="C1054" s="5">
        <f>=HYPERLINK("https://nusmods.com/modules/EE5999#timetable","Timetable")</f>
      </c>
      <c r="D1054" s="5"/>
      <c r="E1054" s="5"/>
      <c r="F1054" s="0" t="s">
        <v>10</v>
      </c>
      <c r="G1054" s="0" t="s">
        <v>911</v>
      </c>
      <c r="H1054" s="3">
        <v>19</v>
      </c>
    </row>
    <row r="1055">
      <c r="A1055" s="0" t="s">
        <v>1992</v>
      </c>
      <c r="B1055" s="0" t="s">
        <v>1993</v>
      </c>
      <c r="C1055" s="5">
        <f>=HYPERLINK("https://nusmods.com/modules/EE6110#timetable","Timetable")</f>
      </c>
      <c r="D1055" s="5"/>
      <c r="E1055" s="5">
        <f>=HYPERLINK("https://luminus.nus.edu.sg/modules/eb7baa3e-9069-4f06-a983-2a1bb200d679","LumiNUS course site")</f>
      </c>
      <c r="F1055" s="0" t="s">
        <v>10</v>
      </c>
      <c r="G1055" s="0" t="s">
        <v>911</v>
      </c>
      <c r="H1055" s="3">
        <v>9</v>
      </c>
    </row>
    <row r="1056">
      <c r="A1056" s="0" t="s">
        <v>1994</v>
      </c>
      <c r="B1056" s="0" t="s">
        <v>1995</v>
      </c>
      <c r="C1056" s="5">
        <f>=HYPERLINK("https://nusmods.com/modules/EE6139#timetable","Timetable")</f>
      </c>
      <c r="D1056" s="5"/>
      <c r="E1056" s="5">
        <f>=HYPERLINK("https://luminus.nus.edu.sg/modules/5dd52d43-6da2-4cc0-a69c-cc3f95f02367","LumiNUS course site")</f>
      </c>
      <c r="F1056" s="0" t="s">
        <v>10</v>
      </c>
      <c r="G1056" s="0" t="s">
        <v>911</v>
      </c>
      <c r="H1056" s="3">
        <v>23</v>
      </c>
    </row>
    <row r="1057">
      <c r="A1057" s="0" t="s">
        <v>1996</v>
      </c>
      <c r="B1057" s="0" t="s">
        <v>1997</v>
      </c>
      <c r="C1057" s="5">
        <f>=HYPERLINK("https://nusmods.com/modules/EE6435#timetable","Timetable")</f>
      </c>
      <c r="D1057" s="5"/>
      <c r="E1057" s="5">
        <f>=HYPERLINK("https://luminus.nus.edu.sg/modules/1bca7eeb-1a48-44dc-8c0b-b6d7849084eb","LumiNUS course site")</f>
      </c>
      <c r="F1057" s="0" t="s">
        <v>10</v>
      </c>
      <c r="G1057" s="0" t="s">
        <v>911</v>
      </c>
      <c r="H1057" s="3">
        <v>9</v>
      </c>
    </row>
    <row r="1058">
      <c r="A1058" s="0" t="s">
        <v>1998</v>
      </c>
      <c r="B1058" s="0" t="s">
        <v>1999</v>
      </c>
      <c r="C1058" s="5">
        <f>=HYPERLINK("https://nusmods.com/modules/EE6438#timetable","Timetable")</f>
      </c>
      <c r="D1058" s="5"/>
      <c r="E1058" s="5">
        <f>=HYPERLINK("https://luminus.nus.edu.sg/modules/a0f677bf-f720-4926-955f-da161e46df40","LumiNUS course site")</f>
      </c>
      <c r="F1058" s="0" t="s">
        <v>10</v>
      </c>
      <c r="G1058" s="0" t="s">
        <v>911</v>
      </c>
      <c r="H1058" s="3">
        <v>9</v>
      </c>
    </row>
    <row r="1059">
      <c r="A1059" s="0" t="s">
        <v>2000</v>
      </c>
      <c r="B1059" s="0" t="s">
        <v>2001</v>
      </c>
      <c r="C1059" s="5">
        <f>=HYPERLINK("https://nusmods.com/modules/EE6733#timetable","Timetable")</f>
      </c>
      <c r="D1059" s="5"/>
      <c r="E1059" s="5">
        <f>=HYPERLINK("https://luminus.nus.edu.sg/modules/0fd4713c-8e90-4649-82d0-21ce2f3ef9c3","LumiNUS course site")</f>
      </c>
      <c r="F1059" s="0" t="s">
        <v>10</v>
      </c>
      <c r="G1059" s="0" t="s">
        <v>911</v>
      </c>
      <c r="H1059" s="3">
        <v>22</v>
      </c>
    </row>
    <row r="1060">
      <c r="A1060" s="0" t="s">
        <v>2002</v>
      </c>
      <c r="B1060" s="0" t="s">
        <v>2003</v>
      </c>
      <c r="C1060" s="5">
        <f>=HYPERLINK("https://nusmods.com/modules/EE6990#timetable","Timetable")</f>
      </c>
      <c r="D1060" s="5"/>
      <c r="E1060" s="5"/>
      <c r="F1060" s="0" t="s">
        <v>10</v>
      </c>
      <c r="G1060" s="0" t="s">
        <v>911</v>
      </c>
      <c r="H1060" s="3">
        <v>52</v>
      </c>
    </row>
    <row r="1061">
      <c r="A1061" s="0" t="s">
        <v>2004</v>
      </c>
      <c r="B1061" s="0" t="s">
        <v>651</v>
      </c>
      <c r="C1061" s="5">
        <f>=HYPERLINK("https://nusmods.com/modules/EE6999#timetable","Timetable")</f>
      </c>
      <c r="D1061" s="5"/>
      <c r="E1061" s="5"/>
      <c r="F1061" s="0" t="s">
        <v>10</v>
      </c>
      <c r="G1061" s="0" t="s">
        <v>911</v>
      </c>
      <c r="H1061" s="3">
        <v>205</v>
      </c>
    </row>
    <row r="1062">
      <c r="A1062" s="0" t="s">
        <v>2005</v>
      </c>
      <c r="B1062" s="0" t="s">
        <v>2006</v>
      </c>
      <c r="C1062" s="5">
        <f>=HYPERLINK("https://nusmods.com/modules/EG1311#timetable","Timetable")</f>
      </c>
      <c r="D1062" s="5">
        <f>=HYPERLINK("https://canvas.nus.edu.sg/courses/22875","Canvas course site")</f>
      </c>
      <c r="E1062" s="5"/>
      <c r="F1062" s="0" t="s">
        <v>10</v>
      </c>
      <c r="G1062" s="0" t="s">
        <v>263</v>
      </c>
      <c r="H1062" s="3">
        <v>759</v>
      </c>
    </row>
    <row r="1063">
      <c r="A1063" s="0" t="s">
        <v>2007</v>
      </c>
      <c r="B1063" s="0" t="s">
        <v>2008</v>
      </c>
      <c r="C1063" s="5">
        <f>=HYPERLINK("https://nusmods.com/modules/EG2101#timetable","Timetable")</f>
      </c>
      <c r="D1063" s="5"/>
      <c r="E1063" s="5">
        <f>=HYPERLINK("https://luminus.nus.edu.sg/modules/3754cf8a-e710-49b9-8ecf-cf1c7bdd5d15","LumiNUS course site")</f>
      </c>
      <c r="F1063" s="0" t="s">
        <v>10</v>
      </c>
      <c r="G1063" s="0" t="s">
        <v>263</v>
      </c>
      <c r="H1063" s="3">
        <v>20</v>
      </c>
    </row>
    <row r="1064">
      <c r="A1064" s="0" t="s">
        <v>2009</v>
      </c>
      <c r="B1064" s="0" t="s">
        <v>2010</v>
      </c>
      <c r="C1064" s="5">
        <f>=HYPERLINK("https://nusmods.com/modules/EG2201A#timetable","Timetable")</f>
      </c>
      <c r="D1064" s="5">
        <f>=HYPERLINK("https://canvas.nus.edu.sg/courses/22885","Canvas course site")</f>
      </c>
      <c r="E1064" s="5"/>
      <c r="F1064" s="0" t="s">
        <v>10</v>
      </c>
      <c r="G1064" s="0" t="s">
        <v>263</v>
      </c>
      <c r="H1064" s="3">
        <v>74</v>
      </c>
    </row>
    <row r="1065">
      <c r="A1065" s="0" t="s">
        <v>2011</v>
      </c>
      <c r="B1065" s="0" t="s">
        <v>2012</v>
      </c>
      <c r="C1065" s="5">
        <f>=HYPERLINK("https://nusmods.com/modules/EG2301#timetable","Timetable")</f>
      </c>
      <c r="D1065" s="5">
        <f>=HYPERLINK("https://canvas.nus.edu.sg/courses/22890","Canvas course site")</f>
      </c>
      <c r="E1065" s="5"/>
      <c r="F1065" s="0" t="s">
        <v>10</v>
      </c>
      <c r="G1065" s="0" t="s">
        <v>263</v>
      </c>
      <c r="H1065" s="3">
        <v>71</v>
      </c>
    </row>
    <row r="1066">
      <c r="A1066" s="0" t="s">
        <v>2013</v>
      </c>
      <c r="B1066" s="0" t="s">
        <v>2014</v>
      </c>
      <c r="C1066" s="5">
        <f>=HYPERLINK("https://nusmods.com/modules/EG2311#timetable","Timetable")</f>
      </c>
      <c r="D1066" s="5"/>
      <c r="E1066" s="5">
        <f>=HYPERLINK("https://luminus.nus.edu.sg/modules/854aa39b-4d6e-4acc-aabe-6026e6b787ec","LumiNUS course site")</f>
      </c>
      <c r="F1066" s="0" t="s">
        <v>10</v>
      </c>
      <c r="G1066" s="0" t="s">
        <v>263</v>
      </c>
      <c r="H1066" s="3">
        <v>24</v>
      </c>
    </row>
    <row r="1067">
      <c r="A1067" s="0" t="s">
        <v>2015</v>
      </c>
      <c r="B1067" s="0" t="s">
        <v>2016</v>
      </c>
      <c r="C1067" s="5">
        <f>=HYPERLINK("https://nusmods.com/modules/EG2401A#timetable","Timetable")</f>
      </c>
      <c r="D1067" s="5"/>
      <c r="E1067" s="5">
        <f>=HYPERLINK("https://luminus.nus.edu.sg/modules/2b9eb2f2-8109-4a43-8553-0e7a04093e7e","LumiNUS course site")</f>
      </c>
      <c r="F1067" s="0" t="s">
        <v>10</v>
      </c>
      <c r="G1067" s="0" t="s">
        <v>263</v>
      </c>
      <c r="H1067" s="3">
        <v>707</v>
      </c>
    </row>
    <row r="1068">
      <c r="A1068" s="0" t="s">
        <v>2017</v>
      </c>
      <c r="B1068" s="0" t="s">
        <v>2018</v>
      </c>
      <c r="C1068" s="5">
        <f>=HYPERLINK("https://nusmods.com/modules/EG2501#timetable","Timetable")</f>
      </c>
      <c r="D1068" s="5"/>
      <c r="E1068" s="5">
        <f>=HYPERLINK("https://luminus.nus.edu.sg/modules/784d9c56-a40e-47ba-b97c-3641a2b86d4c","LumiNUS course site")</f>
      </c>
      <c r="F1068" s="0" t="s">
        <v>10</v>
      </c>
      <c r="G1068" s="0" t="s">
        <v>263</v>
      </c>
      <c r="H1068" s="3">
        <v>703</v>
      </c>
    </row>
    <row r="1069">
      <c r="A1069" s="0" t="s">
        <v>2019</v>
      </c>
      <c r="B1069" s="0" t="s">
        <v>2020</v>
      </c>
      <c r="C1069" s="5">
        <f>=HYPERLINK("https://nusmods.com/modules/EG2604#timetable","Timetable")</f>
      </c>
      <c r="D1069" s="5"/>
      <c r="E1069" s="5">
        <f>=HYPERLINK("https://luminus.nus.edu.sg/modules/cde8bae1-be62-4557-b865-8d5401bb2f10","LumiNUS course site")</f>
      </c>
      <c r="F1069" s="0" t="s">
        <v>10</v>
      </c>
      <c r="G1069" s="0" t="s">
        <v>263</v>
      </c>
      <c r="H1069" s="3">
        <v>23</v>
      </c>
    </row>
    <row r="1070">
      <c r="A1070" s="0" t="s">
        <v>2021</v>
      </c>
      <c r="B1070" s="0" t="s">
        <v>2022</v>
      </c>
      <c r="C1070" s="5">
        <f>=HYPERLINK("https://nusmods.com/modules/EG2605#timetable","Timetable")</f>
      </c>
      <c r="D1070" s="5"/>
      <c r="E1070" s="5"/>
      <c r="F1070" s="0" t="s">
        <v>10</v>
      </c>
      <c r="G1070" s="0" t="s">
        <v>263</v>
      </c>
      <c r="H1070" s="3">
        <v>56</v>
      </c>
    </row>
    <row r="1071">
      <c r="A1071" s="0" t="s">
        <v>2023</v>
      </c>
      <c r="B1071" s="0" t="s">
        <v>1239</v>
      </c>
      <c r="C1071" s="5">
        <f>=HYPERLINK("https://nusmods.com/modules/EG2606A#timetable","Timetable")</f>
      </c>
      <c r="D1071" s="5"/>
      <c r="E1071" s="5"/>
      <c r="F1071" s="0" t="s">
        <v>10</v>
      </c>
      <c r="G1071" s="0" t="s">
        <v>263</v>
      </c>
      <c r="H1071" s="3">
        <v>0</v>
      </c>
    </row>
    <row r="1072">
      <c r="A1072" s="0" t="s">
        <v>2024</v>
      </c>
      <c r="B1072" s="0" t="s">
        <v>1239</v>
      </c>
      <c r="C1072" s="5">
        <f>=HYPERLINK("https://nusmods.com/modules/EG2606B#timetable","Timetable")</f>
      </c>
      <c r="D1072" s="5"/>
      <c r="E1072" s="5"/>
      <c r="F1072" s="0" t="s">
        <v>10</v>
      </c>
      <c r="G1072" s="0" t="s">
        <v>263</v>
      </c>
      <c r="H1072" s="3">
        <v>75</v>
      </c>
    </row>
    <row r="1073">
      <c r="A1073" s="0" t="s">
        <v>2025</v>
      </c>
      <c r="B1073" s="0" t="s">
        <v>2026</v>
      </c>
      <c r="C1073" s="5">
        <f>=HYPERLINK("https://nusmods.com/modules/EG2701A#timetable","Timetable")</f>
      </c>
      <c r="D1073" s="5"/>
      <c r="E1073" s="5"/>
      <c r="F1073" s="0" t="s">
        <v>10</v>
      </c>
      <c r="G1073" s="0" t="s">
        <v>263</v>
      </c>
      <c r="H1073" s="3">
        <v>8</v>
      </c>
    </row>
    <row r="1074">
      <c r="A1074" s="0" t="s">
        <v>2027</v>
      </c>
      <c r="B1074" s="0" t="s">
        <v>2028</v>
      </c>
      <c r="C1074" s="5">
        <f>=HYPERLINK("https://nusmods.com/modules/EG2701B#timetable","Timetable")</f>
      </c>
      <c r="D1074" s="5"/>
      <c r="E1074" s="5"/>
      <c r="F1074" s="0" t="s">
        <v>10</v>
      </c>
      <c r="G1074" s="0" t="s">
        <v>263</v>
      </c>
      <c r="H1074" s="3">
        <v>2</v>
      </c>
    </row>
    <row r="1075">
      <c r="A1075" s="0" t="s">
        <v>2029</v>
      </c>
      <c r="B1075" s="0" t="s">
        <v>2030</v>
      </c>
      <c r="C1075" s="5">
        <f>=HYPERLINK("https://nusmods.com/modules/EG3301R#timetable","Timetable")</f>
      </c>
      <c r="D1075" s="5"/>
      <c r="E1075" s="5">
        <f>=HYPERLINK("https://luminus.nus.edu.sg/modules/60c37ef1-3638-4e0f-b657-3c7cc85be3ec","LumiNUS course site")</f>
      </c>
      <c r="F1075" s="0" t="s">
        <v>10</v>
      </c>
      <c r="G1075" s="0" t="s">
        <v>263</v>
      </c>
      <c r="H1075" s="3">
        <v>150</v>
      </c>
    </row>
    <row r="1076">
      <c r="A1076" s="0" t="s">
        <v>2031</v>
      </c>
      <c r="B1076" s="0" t="s">
        <v>647</v>
      </c>
      <c r="C1076" s="5">
        <f>=HYPERLINK("https://nusmods.com/modules/EG3611#timetable","Timetable")</f>
      </c>
      <c r="D1076" s="5"/>
      <c r="E1076" s="5">
        <f>=HYPERLINK("https://luminus.nus.edu.sg/modules/ea348b99-5f15-44aa-b4f1-d95f625c41dc","LumiNUS course site")</f>
      </c>
      <c r="F1076" s="0" t="s">
        <v>10</v>
      </c>
      <c r="G1076" s="0" t="s">
        <v>263</v>
      </c>
      <c r="H1076" s="3">
        <v>0</v>
      </c>
    </row>
    <row r="1077">
      <c r="A1077" s="0" t="s">
        <v>2032</v>
      </c>
      <c r="B1077" s="0" t="s">
        <v>647</v>
      </c>
      <c r="C1077" s="5">
        <f>=HYPERLINK("https://nusmods.com/modules/EG3611A#timetable","Timetable")</f>
      </c>
      <c r="D1077" s="5"/>
      <c r="E1077" s="5">
        <f>=HYPERLINK("https://luminus.nus.edu.sg/modules/ea348b99-5f15-44aa-b4f1-d95f625c41dc","LumiNUS course site")</f>
      </c>
      <c r="F1077" s="0" t="s">
        <v>10</v>
      </c>
      <c r="G1077" s="0" t="s">
        <v>263</v>
      </c>
      <c r="H1077" s="3">
        <v>399</v>
      </c>
    </row>
    <row r="1078">
      <c r="A1078" s="0" t="s">
        <v>2033</v>
      </c>
      <c r="B1078" s="0" t="s">
        <v>647</v>
      </c>
      <c r="C1078" s="5">
        <f>=HYPERLINK("https://nusmods.com/modules/EG3611B#timetable","Timetable")</f>
      </c>
      <c r="D1078" s="5"/>
      <c r="E1078" s="5"/>
      <c r="F1078" s="0" t="s">
        <v>10</v>
      </c>
      <c r="G1078" s="0" t="s">
        <v>263</v>
      </c>
      <c r="H1078" s="3">
        <v>0</v>
      </c>
    </row>
    <row r="1079">
      <c r="A1079" s="0" t="s">
        <v>2034</v>
      </c>
      <c r="B1079" s="0" t="s">
        <v>2035</v>
      </c>
      <c r="C1079" s="5">
        <f>=HYPERLINK("https://nusmods.com/modules/EG4301#timetable","Timetable")</f>
      </c>
      <c r="D1079" s="5">
        <f>=HYPERLINK("https://canvas.nus.edu.sg/courses/22952","Canvas course site")</f>
      </c>
      <c r="E1079" s="5">
        <f>=HYPERLINK("https://luminus.nus.edu.sg/modules/392e534a-2dcc-4cb3-a9a3-5d4a81cb1b40","LumiNUS course site")</f>
      </c>
      <c r="F1079" s="0" t="s">
        <v>10</v>
      </c>
      <c r="G1079" s="0" t="s">
        <v>263</v>
      </c>
      <c r="H1079" s="3">
        <v>126</v>
      </c>
    </row>
    <row r="1080">
      <c r="A1080" s="0" t="s">
        <v>2036</v>
      </c>
      <c r="B1080" s="0" t="s">
        <v>2037</v>
      </c>
      <c r="C1080" s="5">
        <f>=HYPERLINK("https://nusmods.com/modules/EG4301A#timetable","Timetable")</f>
      </c>
      <c r="D1080" s="5"/>
      <c r="E1080" s="5">
        <f>=HYPERLINK("https://luminus.nus.edu.sg/modules/392e534a-2dcc-4cb3-a9a3-5d4a81cb1b40","LumiNUS course site")</f>
      </c>
      <c r="F1080" s="0" t="s">
        <v>10</v>
      </c>
      <c r="G1080" s="0" t="s">
        <v>263</v>
      </c>
      <c r="H1080" s="3">
        <v>31</v>
      </c>
    </row>
    <row r="1081">
      <c r="A1081" s="0" t="s">
        <v>2038</v>
      </c>
      <c r="B1081" s="0" t="s">
        <v>2039</v>
      </c>
      <c r="C1081" s="5">
        <f>=HYPERLINK("https://nusmods.com/modules/EG5911R#timetable","Timetable")</f>
      </c>
      <c r="D1081" s="5"/>
      <c r="E1081" s="5">
        <f>=HYPERLINK("https://luminus.nus.edu.sg/modules/cbbe65f5-b7b5-4c29-a097-5ce1809075c1","LumiNUS course site")</f>
      </c>
      <c r="F1081" s="0" t="s">
        <v>10</v>
      </c>
      <c r="G1081" s="0" t="s">
        <v>263</v>
      </c>
      <c r="H1081" s="3">
        <v>273</v>
      </c>
    </row>
    <row r="1082">
      <c r="A1082" s="0" t="s">
        <v>2040</v>
      </c>
      <c r="B1082" s="0" t="s">
        <v>2041</v>
      </c>
      <c r="C1082" s="5">
        <f>=HYPERLINK("https://nusmods.com/modules/EL1101E#timetable","Timetable")</f>
      </c>
      <c r="D1082" s="5"/>
      <c r="E1082" s="5">
        <f>=HYPERLINK("https://luminus.nus.edu.sg/modules/6fa96019-f84b-4c66-b934-d079e7972e62","LumiNUS course site")</f>
      </c>
      <c r="F1082" s="0" t="s">
        <v>73</v>
      </c>
      <c r="G1082" s="0" t="s">
        <v>2042</v>
      </c>
      <c r="H1082" s="3">
        <v>168</v>
      </c>
    </row>
    <row r="1083">
      <c r="A1083" s="0" t="s">
        <v>2043</v>
      </c>
      <c r="B1083" s="0" t="s">
        <v>2044</v>
      </c>
      <c r="C1083" s="5">
        <f>=HYPERLINK("https://nusmods.com/modules/EL2102#timetable","Timetable")</f>
      </c>
      <c r="D1083" s="5"/>
      <c r="E1083" s="5">
        <f>=HYPERLINK("https://luminus.nus.edu.sg/modules/71bf7bd6-c68d-44c1-a2bd-eb8198871773","LumiNUS course site")</f>
      </c>
      <c r="F1083" s="0" t="s">
        <v>73</v>
      </c>
      <c r="G1083" s="0" t="s">
        <v>2042</v>
      </c>
      <c r="H1083" s="3">
        <v>31</v>
      </c>
    </row>
    <row r="1084">
      <c r="A1084" s="0" t="s">
        <v>2045</v>
      </c>
      <c r="B1084" s="0" t="s">
        <v>2046</v>
      </c>
      <c r="C1084" s="5">
        <f>=HYPERLINK("https://nusmods.com/modules/EL2151#timetable","Timetable")</f>
      </c>
      <c r="D1084" s="5"/>
      <c r="E1084" s="5">
        <f>=HYPERLINK("https://luminus.nus.edu.sg/modules/0abaef4d-3ba4-4d62-a8a7-8d18cbf29825","LumiNUS course site")</f>
      </c>
      <c r="F1084" s="0" t="s">
        <v>73</v>
      </c>
      <c r="G1084" s="0" t="s">
        <v>2042</v>
      </c>
      <c r="H1084" s="3">
        <v>46</v>
      </c>
    </row>
    <row r="1085">
      <c r="A1085" s="0" t="s">
        <v>2047</v>
      </c>
      <c r="B1085" s="0" t="s">
        <v>2048</v>
      </c>
      <c r="C1085" s="5">
        <f>=HYPERLINK("https://nusmods.com/modules/EL3201#timetable","Timetable")</f>
      </c>
      <c r="D1085" s="5"/>
      <c r="E1085" s="5">
        <f>=HYPERLINK("https://luminus.nus.edu.sg/modules/5838b5e0-1f7a-466c-8714-b890b0ee65dd","LumiNUS course site")</f>
      </c>
      <c r="F1085" s="0" t="s">
        <v>73</v>
      </c>
      <c r="G1085" s="0" t="s">
        <v>2042</v>
      </c>
      <c r="H1085" s="3">
        <v>9</v>
      </c>
    </row>
    <row r="1086">
      <c r="A1086" s="0" t="s">
        <v>2049</v>
      </c>
      <c r="B1086" s="0" t="s">
        <v>2050</v>
      </c>
      <c r="C1086" s="5">
        <f>=HYPERLINK("https://nusmods.com/modules/EL3206#timetable","Timetable")</f>
      </c>
      <c r="D1086" s="5"/>
      <c r="E1086" s="5">
        <f>=HYPERLINK("https://luminus.nus.edu.sg/modules/d4b53bc8-9382-4627-be78-5160a3680a12","LumiNUS course site")</f>
      </c>
      <c r="F1086" s="0" t="s">
        <v>73</v>
      </c>
      <c r="G1086" s="0" t="s">
        <v>2042</v>
      </c>
      <c r="H1086" s="3">
        <v>29</v>
      </c>
    </row>
    <row r="1087">
      <c r="A1087" s="0" t="s">
        <v>2051</v>
      </c>
      <c r="B1087" s="0" t="s">
        <v>2052</v>
      </c>
      <c r="C1087" s="5">
        <f>=HYPERLINK("https://nusmods.com/modules/EL3208#timetable","Timetable")</f>
      </c>
      <c r="D1087" s="5"/>
      <c r="E1087" s="5">
        <f>=HYPERLINK("https://luminus.nus.edu.sg/modules/20248bd4-8741-4bec-a366-766a3462adc1","LumiNUS course site")</f>
      </c>
      <c r="F1087" s="0" t="s">
        <v>73</v>
      </c>
      <c r="G1087" s="0" t="s">
        <v>2042</v>
      </c>
      <c r="H1087" s="3">
        <v>31</v>
      </c>
    </row>
    <row r="1088">
      <c r="A1088" s="0" t="s">
        <v>2053</v>
      </c>
      <c r="B1088" s="0" t="s">
        <v>2054</v>
      </c>
      <c r="C1088" s="5">
        <f>=HYPERLINK("https://nusmods.com/modules/EL3209#timetable","Timetable")</f>
      </c>
      <c r="D1088" s="5"/>
      <c r="E1088" s="5">
        <f>=HYPERLINK("https://luminus.nus.edu.sg/modules/88ac37a5-fd93-49b5-870e-396b103e22ac","LumiNUS course site")</f>
      </c>
      <c r="F1088" s="0" t="s">
        <v>73</v>
      </c>
      <c r="G1088" s="0" t="s">
        <v>2042</v>
      </c>
      <c r="H1088" s="3">
        <v>18</v>
      </c>
    </row>
    <row r="1089">
      <c r="A1089" s="0" t="s">
        <v>2055</v>
      </c>
      <c r="B1089" s="0" t="s">
        <v>2056</v>
      </c>
      <c r="C1089" s="5">
        <f>=HYPERLINK("https://nusmods.com/modules/EL3214#timetable","Timetable")</f>
      </c>
      <c r="D1089" s="5"/>
      <c r="E1089" s="5">
        <f>=HYPERLINK("https://luminus.nus.edu.sg/modules/2a9f24b7-dce2-40d8-8ecf-84fce5362d7c","LumiNUS course site")</f>
      </c>
      <c r="F1089" s="0" t="s">
        <v>73</v>
      </c>
      <c r="G1089" s="0" t="s">
        <v>2042</v>
      </c>
      <c r="H1089" s="3">
        <v>21</v>
      </c>
    </row>
    <row r="1090">
      <c r="A1090" s="0" t="s">
        <v>2057</v>
      </c>
      <c r="B1090" s="0" t="s">
        <v>1773</v>
      </c>
      <c r="C1090" s="5">
        <f>=HYPERLINK("https://nusmods.com/modules/EL3551#timetable","Timetable")</f>
      </c>
      <c r="D1090" s="5"/>
      <c r="E1090" s="5"/>
      <c r="F1090" s="0" t="s">
        <v>73</v>
      </c>
      <c r="G1090" s="0" t="s">
        <v>2042</v>
      </c>
      <c r="H1090" s="3">
        <v>2</v>
      </c>
    </row>
    <row r="1091">
      <c r="A1091" s="0" t="s">
        <v>2058</v>
      </c>
      <c r="B1091" s="0" t="s">
        <v>2059</v>
      </c>
      <c r="C1091" s="5">
        <f>=HYPERLINK("https://nusmods.com/modules/EL4216#timetable","Timetable")</f>
      </c>
      <c r="D1091" s="5"/>
      <c r="E1091" s="5">
        <f>=HYPERLINK("https://luminus.nus.edu.sg/modules/223d01aa-5237-4c76-a302-a70e0d08fa49","LumiNUS course site")</f>
      </c>
      <c r="F1091" s="0" t="s">
        <v>73</v>
      </c>
      <c r="G1091" s="0" t="s">
        <v>2042</v>
      </c>
      <c r="H1091" s="3">
        <v>24</v>
      </c>
    </row>
    <row r="1092">
      <c r="A1092" s="0" t="s">
        <v>2060</v>
      </c>
      <c r="B1092" s="0" t="s">
        <v>2061</v>
      </c>
      <c r="C1092" s="5">
        <f>=HYPERLINK("https://nusmods.com/modules/EL4252#timetable","Timetable")</f>
      </c>
      <c r="D1092" s="5"/>
      <c r="E1092" s="5">
        <f>=HYPERLINK("https://luminus.nus.edu.sg/modules/d8cc197f-0cec-4d07-bbcf-536b1a0a7812","LumiNUS course site")</f>
      </c>
      <c r="F1092" s="0" t="s">
        <v>73</v>
      </c>
      <c r="G1092" s="0" t="s">
        <v>2042</v>
      </c>
      <c r="H1092" s="3">
        <v>26</v>
      </c>
    </row>
    <row r="1093">
      <c r="A1093" s="0" t="s">
        <v>2062</v>
      </c>
      <c r="B1093" s="0" t="s">
        <v>2063</v>
      </c>
      <c r="C1093" s="5">
        <f>=HYPERLINK("https://nusmods.com/modules/EL4253#timetable","Timetable")</f>
      </c>
      <c r="D1093" s="5"/>
      <c r="E1093" s="5">
        <f>=HYPERLINK("https://luminus.nus.edu.sg/modules/48f2ee3a-4a95-4c6f-9fce-2ceb0171f541","LumiNUS course site")</f>
      </c>
      <c r="F1093" s="0" t="s">
        <v>73</v>
      </c>
      <c r="G1093" s="0" t="s">
        <v>2042</v>
      </c>
      <c r="H1093" s="3">
        <v>28</v>
      </c>
    </row>
    <row r="1094">
      <c r="A1094" s="0" t="s">
        <v>2064</v>
      </c>
      <c r="B1094" s="0" t="s">
        <v>2065</v>
      </c>
      <c r="C1094" s="5">
        <f>=HYPERLINK("https://nusmods.com/modules/EL4255#timetable","Timetable")</f>
      </c>
      <c r="D1094" s="5">
        <f>=HYPERLINK("https://canvas.nus.edu.sg/courses/23018","Canvas course site")</f>
      </c>
      <c r="E1094" s="5"/>
      <c r="F1094" s="0" t="s">
        <v>73</v>
      </c>
      <c r="G1094" s="0" t="s">
        <v>2042</v>
      </c>
      <c r="H1094" s="3">
        <v>39</v>
      </c>
    </row>
    <row r="1095">
      <c r="A1095" s="0" t="s">
        <v>2066</v>
      </c>
      <c r="B1095" s="0" t="s">
        <v>980</v>
      </c>
      <c r="C1095" s="5">
        <f>=HYPERLINK("https://nusmods.com/modules/EL4401#timetable","Timetable")</f>
      </c>
      <c r="D1095" s="5"/>
      <c r="E1095" s="5"/>
      <c r="F1095" s="0" t="s">
        <v>73</v>
      </c>
      <c r="G1095" s="0" t="s">
        <v>2042</v>
      </c>
      <c r="H1095" s="3">
        <v>5</v>
      </c>
    </row>
    <row r="1096">
      <c r="A1096" s="0" t="s">
        <v>2067</v>
      </c>
      <c r="B1096" s="0" t="s">
        <v>602</v>
      </c>
      <c r="C1096" s="5">
        <f>=HYPERLINK("https://nusmods.com/modules/EL4660#timetable","Timetable")</f>
      </c>
      <c r="D1096" s="5"/>
      <c r="E1096" s="5"/>
      <c r="F1096" s="0" t="s">
        <v>73</v>
      </c>
      <c r="G1096" s="0" t="s">
        <v>2042</v>
      </c>
      <c r="H1096" s="3">
        <v>0</v>
      </c>
    </row>
    <row r="1097">
      <c r="A1097" s="0" t="s">
        <v>2068</v>
      </c>
      <c r="B1097" s="0" t="s">
        <v>2069</v>
      </c>
      <c r="C1097" s="5">
        <f>=HYPERLINK("https://nusmods.com/modules/EL5101#timetable","Timetable")</f>
      </c>
      <c r="D1097" s="5"/>
      <c r="E1097" s="5">
        <f>=HYPERLINK("https://luminus.nus.edu.sg/modules/fa306037-a8b7-4960-98c5-64bc4be88ffd","LumiNUS course site")</f>
      </c>
      <c r="F1097" s="0" t="s">
        <v>73</v>
      </c>
      <c r="G1097" s="0" t="s">
        <v>2042</v>
      </c>
      <c r="H1097" s="3">
        <v>11</v>
      </c>
    </row>
    <row r="1098">
      <c r="A1098" s="0" t="s">
        <v>2070</v>
      </c>
      <c r="B1098" s="0" t="s">
        <v>2069</v>
      </c>
      <c r="C1098" s="5">
        <f>=HYPERLINK("https://nusmods.com/modules/EL5101R#timetable","Timetable")</f>
      </c>
      <c r="D1098" s="5"/>
      <c r="E1098" s="5">
        <f>=HYPERLINK("https://luminus.nus.edu.sg/modules/fa306037-a8b7-4960-98c5-64bc4be88ffd","LumiNUS course site")</f>
      </c>
      <c r="F1098" s="0" t="s">
        <v>73</v>
      </c>
      <c r="G1098" s="0" t="s">
        <v>2042</v>
      </c>
      <c r="H1098" s="3">
        <v>1</v>
      </c>
    </row>
    <row r="1099">
      <c r="A1099" s="0" t="s">
        <v>2071</v>
      </c>
      <c r="B1099" s="0" t="s">
        <v>2072</v>
      </c>
      <c r="C1099" s="5">
        <f>=HYPERLINK("https://nusmods.com/modules/EL5102#timetable","Timetable")</f>
      </c>
      <c r="D1099" s="5"/>
      <c r="E1099" s="5">
        <f>=HYPERLINK("https://luminus.nus.edu.sg/modules/8bded83c-c183-43a1-b995-ec02ddb10bfe","LumiNUS course site")</f>
      </c>
      <c r="F1099" s="0" t="s">
        <v>73</v>
      </c>
      <c r="G1099" s="0" t="s">
        <v>2042</v>
      </c>
      <c r="H1099" s="3">
        <v>20</v>
      </c>
    </row>
    <row r="1100">
      <c r="A1100" s="0" t="s">
        <v>2073</v>
      </c>
      <c r="B1100" s="0" t="s">
        <v>2072</v>
      </c>
      <c r="C1100" s="5">
        <f>=HYPERLINK("https://nusmods.com/modules/EL5102R#timetable","Timetable")</f>
      </c>
      <c r="D1100" s="5"/>
      <c r="E1100" s="5">
        <f>=HYPERLINK("https://luminus.nus.edu.sg/modules/8bded83c-c183-43a1-b995-ec02ddb10bfe","LumiNUS course site")</f>
      </c>
      <c r="F1100" s="0" t="s">
        <v>73</v>
      </c>
      <c r="G1100" s="0" t="s">
        <v>2042</v>
      </c>
      <c r="H1100" s="3">
        <v>3</v>
      </c>
    </row>
    <row r="1101">
      <c r="A1101" s="0" t="s">
        <v>2074</v>
      </c>
      <c r="B1101" s="0" t="s">
        <v>2075</v>
      </c>
      <c r="C1101" s="5">
        <f>=HYPERLINK("https://nusmods.com/modules/EL5103#timetable","Timetable")</f>
      </c>
      <c r="D1101" s="5"/>
      <c r="E1101" s="5">
        <f>=HYPERLINK("https://luminus.nus.edu.sg/modules/da7b1664-59f0-46df-85e5-b0dba75aa227","LumiNUS course site")</f>
      </c>
      <c r="F1101" s="0" t="s">
        <v>73</v>
      </c>
      <c r="G1101" s="0" t="s">
        <v>2042</v>
      </c>
      <c r="H1101" s="3">
        <v>18</v>
      </c>
    </row>
    <row r="1102">
      <c r="A1102" s="0" t="s">
        <v>2076</v>
      </c>
      <c r="B1102" s="0" t="s">
        <v>2075</v>
      </c>
      <c r="C1102" s="5">
        <f>=HYPERLINK("https://nusmods.com/modules/EL5103R#timetable","Timetable")</f>
      </c>
      <c r="D1102" s="5"/>
      <c r="E1102" s="5">
        <f>=HYPERLINK("https://luminus.nus.edu.sg/modules/da7b1664-59f0-46df-85e5-b0dba75aa227","LumiNUS course site")</f>
      </c>
      <c r="F1102" s="0" t="s">
        <v>73</v>
      </c>
      <c r="G1102" s="0" t="s">
        <v>2042</v>
      </c>
      <c r="H1102" s="3">
        <v>8</v>
      </c>
    </row>
    <row r="1103">
      <c r="A1103" s="0" t="s">
        <v>2077</v>
      </c>
      <c r="B1103" s="0" t="s">
        <v>2078</v>
      </c>
      <c r="C1103" s="5">
        <f>=HYPERLINK("https://nusmods.com/modules/EL5255R#timetable","Timetable")</f>
      </c>
      <c r="D1103" s="5"/>
      <c r="E1103" s="5">
        <f>=HYPERLINK("https://luminus.nus.edu.sg/modules/1cd3cc4f-c250-4153-9c4f-d1cceb6ff3bf","LumiNUS course site")</f>
      </c>
      <c r="F1103" s="0" t="s">
        <v>73</v>
      </c>
      <c r="G1103" s="0" t="s">
        <v>2042</v>
      </c>
      <c r="H1103" s="3">
        <v>2</v>
      </c>
    </row>
    <row r="1104">
      <c r="A1104" s="0" t="s">
        <v>2079</v>
      </c>
      <c r="B1104" s="0" t="s">
        <v>2080</v>
      </c>
      <c r="C1104" s="5">
        <f>=HYPERLINK("https://nusmods.com/modules/EL5270R#timetable","Timetable")</f>
      </c>
      <c r="D1104" s="5"/>
      <c r="E1104" s="5">
        <f>=HYPERLINK("https://luminus.nus.edu.sg/modules/82250ef8-4b82-410e-a938-e69a5a23f04d","LumiNUS course site")</f>
      </c>
      <c r="F1104" s="0" t="s">
        <v>73</v>
      </c>
      <c r="G1104" s="0" t="s">
        <v>2042</v>
      </c>
      <c r="H1104" s="3">
        <v>1</v>
      </c>
    </row>
    <row r="1105">
      <c r="A1105" s="0" t="s">
        <v>2081</v>
      </c>
      <c r="B1105" s="0" t="s">
        <v>602</v>
      </c>
      <c r="C1105" s="5">
        <f>=HYPERLINK("https://nusmods.com/modules/EL5660#timetable","Timetable")</f>
      </c>
      <c r="D1105" s="5"/>
      <c r="E1105" s="5"/>
      <c r="F1105" s="0" t="s">
        <v>73</v>
      </c>
      <c r="G1105" s="0" t="s">
        <v>2042</v>
      </c>
      <c r="H1105" s="3">
        <v>1</v>
      </c>
    </row>
    <row r="1106">
      <c r="A1106" s="0" t="s">
        <v>2082</v>
      </c>
      <c r="B1106" s="0" t="s">
        <v>602</v>
      </c>
      <c r="C1106" s="5">
        <f>=HYPERLINK("https://nusmods.com/modules/EL6660#timetable","Timetable")</f>
      </c>
      <c r="D1106" s="5"/>
      <c r="E1106" s="5"/>
      <c r="F1106" s="0" t="s">
        <v>73</v>
      </c>
      <c r="G1106" s="0" t="s">
        <v>2042</v>
      </c>
      <c r="H1106" s="3">
        <v>0</v>
      </c>
    </row>
    <row r="1107">
      <c r="A1107" s="0" t="s">
        <v>2083</v>
      </c>
      <c r="B1107" s="0" t="s">
        <v>2084</v>
      </c>
      <c r="C1107" s="5">
        <f>=HYPERLINK("https://nusmods.com/modules/EL6884#timetable","Timetable")</f>
      </c>
      <c r="D1107" s="5"/>
      <c r="E1107" s="5"/>
      <c r="F1107" s="0" t="s">
        <v>73</v>
      </c>
      <c r="G1107" s="0" t="s">
        <v>2042</v>
      </c>
      <c r="H1107" s="3">
        <v>0</v>
      </c>
    </row>
    <row r="1108">
      <c r="A1108" s="0" t="s">
        <v>2085</v>
      </c>
      <c r="B1108" s="0" t="s">
        <v>2086</v>
      </c>
      <c r="C1108" s="5">
        <f>=HYPERLINK("https://nusmods.com/modules/ELC5104#timetable","Timetable")</f>
      </c>
      <c r="D1108" s="5"/>
      <c r="E1108" s="5">
        <f>=HYPERLINK("https://luminus.nus.edu.sg/modules/f2e8c25b-1c9c-4d1e-a5f8-7a85a0845d78","LumiNUS course site")</f>
      </c>
      <c r="F1108" s="0" t="s">
        <v>73</v>
      </c>
      <c r="G1108" s="0" t="s">
        <v>2042</v>
      </c>
      <c r="H1108" s="3">
        <v>20</v>
      </c>
    </row>
    <row r="1109">
      <c r="A1109" s="0" t="s">
        <v>2087</v>
      </c>
      <c r="B1109" s="0" t="s">
        <v>2078</v>
      </c>
      <c r="C1109" s="5">
        <f>=HYPERLINK("https://nusmods.com/modules/ELC5255#timetable","Timetable")</f>
      </c>
      <c r="D1109" s="5"/>
      <c r="E1109" s="5">
        <f>=HYPERLINK("https://luminus.nus.edu.sg/modules/1cd3cc4f-c250-4153-9c4f-d1cceb6ff3bf","LumiNUS course site")</f>
      </c>
      <c r="F1109" s="0" t="s">
        <v>73</v>
      </c>
      <c r="G1109" s="0" t="s">
        <v>2042</v>
      </c>
      <c r="H1109" s="3">
        <v>28</v>
      </c>
    </row>
    <row r="1110">
      <c r="A1110" s="0" t="s">
        <v>2088</v>
      </c>
      <c r="B1110" s="0" t="s">
        <v>2089</v>
      </c>
      <c r="C1110" s="5">
        <f>=HYPERLINK("https://nusmods.com/modules/ELC5270#timetable","Timetable")</f>
      </c>
      <c r="D1110" s="5"/>
      <c r="E1110" s="5">
        <f>=HYPERLINK("https://luminus.nus.edu.sg/modules/82250ef8-4b82-410e-a938-e69a5a23f04d","LumiNUS course site")</f>
      </c>
      <c r="F1110" s="0" t="s">
        <v>73</v>
      </c>
      <c r="G1110" s="0" t="s">
        <v>2042</v>
      </c>
      <c r="H1110" s="3">
        <v>35</v>
      </c>
    </row>
    <row r="1111">
      <c r="A1111" s="0" t="s">
        <v>2090</v>
      </c>
      <c r="B1111" s="0" t="s">
        <v>2091</v>
      </c>
      <c r="C1111" s="5">
        <f>=HYPERLINK("https://nusmods.com/modules/EM1201#timetable","Timetable")</f>
      </c>
      <c r="D1111" s="5"/>
      <c r="E1111" s="5">
        <f>=HYPERLINK("https://luminus.nus.edu.sg/modules/bba78c58-0788-4833-9e52-ed09080b8419","LumiNUS course site")</f>
      </c>
      <c r="F1111" s="0" t="s">
        <v>926</v>
      </c>
      <c r="G1111" s="0" t="s">
        <v>1288</v>
      </c>
      <c r="H1111" s="3">
        <v>18</v>
      </c>
    </row>
    <row r="1112">
      <c r="A1112" s="0" t="s">
        <v>2092</v>
      </c>
      <c r="B1112" s="0" t="s">
        <v>2093</v>
      </c>
      <c r="C1112" s="5">
        <f>=HYPERLINK("https://nusmods.com/modules/EM1202#timetable","Timetable")</f>
      </c>
      <c r="D1112" s="5"/>
      <c r="E1112" s="5">
        <f>=HYPERLINK("https://luminus.nus.edu.sg/modules/66608180-790b-44f7-a1d0-3713165966f0","LumiNUS course site")</f>
      </c>
      <c r="F1112" s="0" t="s">
        <v>926</v>
      </c>
      <c r="G1112" s="0" t="s">
        <v>1288</v>
      </c>
      <c r="H1112" s="3">
        <v>13</v>
      </c>
    </row>
    <row r="1113">
      <c r="A1113" s="0" t="s">
        <v>2094</v>
      </c>
      <c r="B1113" s="0" t="s">
        <v>2095</v>
      </c>
      <c r="C1113" s="5">
        <f>=HYPERLINK("https://nusmods.com/modules/EN1101E#timetable","Timetable")</f>
      </c>
      <c r="D1113" s="5"/>
      <c r="E1113" s="5">
        <f>=HYPERLINK("https://luminus.nus.edu.sg/modules/47de5a00-0faa-4a98-9f01-2183634e8a24","LumiNUS course site")</f>
      </c>
      <c r="F1113" s="0" t="s">
        <v>73</v>
      </c>
      <c r="G1113" s="0" t="s">
        <v>2042</v>
      </c>
      <c r="H1113" s="3">
        <v>82</v>
      </c>
    </row>
    <row r="1114">
      <c r="A1114" s="0" t="s">
        <v>2096</v>
      </c>
      <c r="B1114" s="0" t="s">
        <v>2097</v>
      </c>
      <c r="C1114" s="5">
        <f>=HYPERLINK("https://nusmods.com/modules/EN2207#timetable","Timetable")</f>
      </c>
      <c r="D1114" s="5"/>
      <c r="E1114" s="5">
        <f>=HYPERLINK("https://luminus.nus.edu.sg/modules/0c04bafd-4088-48c6-aaf2-29c59dd63504","LumiNUS course site")</f>
      </c>
      <c r="F1114" s="0" t="s">
        <v>73</v>
      </c>
      <c r="G1114" s="0" t="s">
        <v>2042</v>
      </c>
      <c r="H1114" s="3">
        <v>39</v>
      </c>
    </row>
    <row r="1115">
      <c r="A1115" s="0" t="s">
        <v>2098</v>
      </c>
      <c r="B1115" s="0" t="s">
        <v>2099</v>
      </c>
      <c r="C1115" s="5">
        <f>=HYPERLINK("https://nusmods.com/modules/EN2277#timetable","Timetable")</f>
      </c>
      <c r="D1115" s="5"/>
      <c r="E1115" s="5">
        <f>=HYPERLINK("https://luminus.nus.edu.sg/modules/79adc0bc-7353-4169-a2a8-df362405b617","LumiNUS course site")</f>
      </c>
      <c r="F1115" s="0" t="s">
        <v>73</v>
      </c>
      <c r="G1115" s="0" t="s">
        <v>2042</v>
      </c>
      <c r="H1115" s="3">
        <v>39</v>
      </c>
    </row>
    <row r="1116">
      <c r="A1116" s="0" t="s">
        <v>2100</v>
      </c>
      <c r="B1116" s="0" t="s">
        <v>2101</v>
      </c>
      <c r="C1116" s="5">
        <f>=HYPERLINK("https://nusmods.com/modules/EN3222#timetable","Timetable")</f>
      </c>
      <c r="D1116" s="5"/>
      <c r="E1116" s="5">
        <f>=HYPERLINK("https://luminus.nus.edu.sg/modules/1110b8ba-cf0d-4ebe-8329-b530c5df3fce","LumiNUS course site")</f>
      </c>
      <c r="F1116" s="0" t="s">
        <v>73</v>
      </c>
      <c r="G1116" s="0" t="s">
        <v>2042</v>
      </c>
      <c r="H1116" s="3">
        <v>45</v>
      </c>
    </row>
    <row r="1117">
      <c r="A1117" s="0" t="s">
        <v>2102</v>
      </c>
      <c r="B1117" s="0" t="s">
        <v>2103</v>
      </c>
      <c r="C1117" s="5">
        <f>=HYPERLINK("https://nusmods.com/modules/EN3224#timetable","Timetable")</f>
      </c>
      <c r="D1117" s="5"/>
      <c r="E1117" s="5">
        <f>=HYPERLINK("https://luminus.nus.edu.sg/modules/f2c6ed29-8b49-45e4-8a85-a1d8ec00f6eb","LumiNUS course site")</f>
      </c>
      <c r="F1117" s="0" t="s">
        <v>73</v>
      </c>
      <c r="G1117" s="0" t="s">
        <v>2042</v>
      </c>
      <c r="H1117" s="3">
        <v>51</v>
      </c>
    </row>
    <row r="1118">
      <c r="A1118" s="0" t="s">
        <v>2104</v>
      </c>
      <c r="B1118" s="0" t="s">
        <v>2105</v>
      </c>
      <c r="C1118" s="5">
        <f>=HYPERLINK("https://nusmods.com/modules/EN3227#timetable","Timetable")</f>
      </c>
      <c r="D1118" s="5"/>
      <c r="E1118" s="5">
        <f>=HYPERLINK("https://luminus.nus.edu.sg/modules/313adc16-e18a-419b-bb96-a71f267f2538","LumiNUS course site")</f>
      </c>
      <c r="F1118" s="0" t="s">
        <v>73</v>
      </c>
      <c r="G1118" s="0" t="s">
        <v>2042</v>
      </c>
      <c r="H1118" s="3">
        <v>42</v>
      </c>
    </row>
    <row r="1119">
      <c r="A1119" s="0" t="s">
        <v>2106</v>
      </c>
      <c r="B1119" s="0" t="s">
        <v>2107</v>
      </c>
      <c r="C1119" s="5">
        <f>=HYPERLINK("https://nusmods.com/modules/EN3231#timetable","Timetable")</f>
      </c>
      <c r="D1119" s="5"/>
      <c r="E1119" s="5">
        <f>=HYPERLINK("https://luminus.nus.edu.sg/modules/237b65ac-4ec1-46fe-bb27-042d076029ff","LumiNUS course site")</f>
      </c>
      <c r="F1119" s="0" t="s">
        <v>73</v>
      </c>
      <c r="G1119" s="0" t="s">
        <v>2042</v>
      </c>
      <c r="H1119" s="3">
        <v>32</v>
      </c>
    </row>
    <row r="1120">
      <c r="A1120" s="0" t="s">
        <v>2108</v>
      </c>
      <c r="B1120" s="0" t="s">
        <v>1773</v>
      </c>
      <c r="C1120" s="5">
        <f>=HYPERLINK("https://nusmods.com/modules/EN3551#timetable","Timetable")</f>
      </c>
      <c r="D1120" s="5"/>
      <c r="E1120" s="5"/>
      <c r="F1120" s="0" t="s">
        <v>73</v>
      </c>
      <c r="G1120" s="0" t="s">
        <v>2042</v>
      </c>
      <c r="H1120" s="3">
        <v>0</v>
      </c>
    </row>
    <row r="1121">
      <c r="A1121" s="0" t="s">
        <v>2109</v>
      </c>
      <c r="B1121" s="0" t="s">
        <v>2110</v>
      </c>
      <c r="C1121" s="5">
        <f>=HYPERLINK("https://nusmods.com/modules/EN4224#timetable","Timetable")</f>
      </c>
      <c r="D1121" s="5"/>
      <c r="E1121" s="5">
        <f>=HYPERLINK("https://luminus.nus.edu.sg/modules/48ee421f-02af-43bc-a4b5-cec6e14e4fa4","LumiNUS course site")</f>
      </c>
      <c r="F1121" s="0" t="s">
        <v>73</v>
      </c>
      <c r="G1121" s="0" t="s">
        <v>2042</v>
      </c>
      <c r="H1121" s="3">
        <v>39</v>
      </c>
    </row>
    <row r="1122">
      <c r="A1122" s="0" t="s">
        <v>2111</v>
      </c>
      <c r="B1122" s="0" t="s">
        <v>2112</v>
      </c>
      <c r="C1122" s="5">
        <f>=HYPERLINK("https://nusmods.com/modules/EN4234#timetable","Timetable")</f>
      </c>
      <c r="D1122" s="5"/>
      <c r="E1122" s="5">
        <f>=HYPERLINK("https://luminus.nus.edu.sg/modules/f117c45a-973f-44b0-bf4e-28d2dc59f60e","LumiNUS course site")</f>
      </c>
      <c r="F1122" s="0" t="s">
        <v>73</v>
      </c>
      <c r="G1122" s="0" t="s">
        <v>2042</v>
      </c>
      <c r="H1122" s="3">
        <v>36</v>
      </c>
    </row>
    <row r="1123">
      <c r="A1123" s="0" t="s">
        <v>2113</v>
      </c>
      <c r="B1123" s="0" t="s">
        <v>2114</v>
      </c>
      <c r="C1123" s="5">
        <f>=HYPERLINK("https://nusmods.com/modules/EN4264#timetable","Timetable")</f>
      </c>
      <c r="D1123" s="5"/>
      <c r="E1123" s="5">
        <f>=HYPERLINK("https://luminus.nus.edu.sg/modules/ee374111-da01-4442-a008-404d669efde7","LumiNUS course site")</f>
      </c>
      <c r="F1123" s="0" t="s">
        <v>73</v>
      </c>
      <c r="G1123" s="0" t="s">
        <v>2042</v>
      </c>
      <c r="H1123" s="3">
        <v>40</v>
      </c>
    </row>
    <row r="1124">
      <c r="A1124" s="0" t="s">
        <v>2115</v>
      </c>
      <c r="B1124" s="0" t="s">
        <v>980</v>
      </c>
      <c r="C1124" s="5">
        <f>=HYPERLINK("https://nusmods.com/modules/EN4401#timetable","Timetable")</f>
      </c>
      <c r="D1124" s="5"/>
      <c r="E1124" s="5"/>
      <c r="F1124" s="0" t="s">
        <v>73</v>
      </c>
      <c r="G1124" s="0" t="s">
        <v>2042</v>
      </c>
      <c r="H1124" s="3">
        <v>6</v>
      </c>
    </row>
    <row r="1125">
      <c r="A1125" s="0" t="s">
        <v>2116</v>
      </c>
      <c r="B1125" s="0" t="s">
        <v>602</v>
      </c>
      <c r="C1125" s="5">
        <f>=HYPERLINK("https://nusmods.com/modules/EN4660#timetable","Timetable")</f>
      </c>
      <c r="D1125" s="5"/>
      <c r="E1125" s="5"/>
      <c r="F1125" s="0" t="s">
        <v>73</v>
      </c>
      <c r="G1125" s="0" t="s">
        <v>2042</v>
      </c>
      <c r="H1125" s="3">
        <v>2</v>
      </c>
    </row>
    <row r="1126">
      <c r="A1126" s="0" t="s">
        <v>2117</v>
      </c>
      <c r="B1126" s="0" t="s">
        <v>2118</v>
      </c>
      <c r="C1126" s="5">
        <f>=HYPERLINK("https://nusmods.com/modules/EN5238R#timetable","Timetable")</f>
      </c>
      <c r="D1126" s="5"/>
      <c r="E1126" s="5">
        <f>=HYPERLINK("https://luminus.nus.edu.sg/modules/b084369a-3eb7-4f6e-acdf-cb1fdcbe1153","LumiNUS course site")</f>
      </c>
      <c r="F1126" s="0" t="s">
        <v>73</v>
      </c>
      <c r="G1126" s="0" t="s">
        <v>2042</v>
      </c>
      <c r="H1126" s="3">
        <v>1</v>
      </c>
    </row>
    <row r="1127">
      <c r="A1127" s="0" t="s">
        <v>2119</v>
      </c>
      <c r="B1127" s="0" t="s">
        <v>2120</v>
      </c>
      <c r="C1127" s="5">
        <f>=HYPERLINK("https://nusmods.com/modules/EN5247R#timetable","Timetable")</f>
      </c>
      <c r="D1127" s="5"/>
      <c r="E1127" s="5">
        <f>=HYPERLINK("https://luminus.nus.edu.sg/modules/315f969c-7699-4dc7-a8b4-5fe474e8bc0f","LumiNUS course site")</f>
      </c>
      <c r="F1127" s="0" t="s">
        <v>73</v>
      </c>
      <c r="G1127" s="0" t="s">
        <v>2042</v>
      </c>
      <c r="H1127" s="3">
        <v>4</v>
      </c>
    </row>
    <row r="1128">
      <c r="A1128" s="0" t="s">
        <v>2121</v>
      </c>
      <c r="B1128" s="0" t="s">
        <v>602</v>
      </c>
      <c r="C1128" s="5">
        <f>=HYPERLINK("https://nusmods.com/modules/EN5660#timetable","Timetable")</f>
      </c>
      <c r="D1128" s="5"/>
      <c r="E1128" s="5"/>
      <c r="F1128" s="0" t="s">
        <v>73</v>
      </c>
      <c r="G1128" s="0" t="s">
        <v>2042</v>
      </c>
      <c r="H1128" s="3">
        <v>6</v>
      </c>
    </row>
    <row r="1129">
      <c r="A1129" s="0" t="s">
        <v>2122</v>
      </c>
      <c r="B1129" s="0" t="s">
        <v>602</v>
      </c>
      <c r="C1129" s="5">
        <f>=HYPERLINK("https://nusmods.com/modules/EN6660#timetable","Timetable")</f>
      </c>
      <c r="D1129" s="5"/>
      <c r="E1129" s="5"/>
      <c r="F1129" s="0" t="s">
        <v>73</v>
      </c>
      <c r="G1129" s="0" t="s">
        <v>2042</v>
      </c>
      <c r="H1129" s="3">
        <v>1</v>
      </c>
    </row>
    <row r="1130">
      <c r="A1130" s="0" t="s">
        <v>2123</v>
      </c>
      <c r="B1130" s="0" t="s">
        <v>2124</v>
      </c>
      <c r="C1130" s="5">
        <f>=HYPERLINK("https://nusmods.com/modules/ENC5149#timetable","Timetable")</f>
      </c>
      <c r="D1130" s="5"/>
      <c r="E1130" s="5">
        <f>=HYPERLINK("https://luminus.nus.edu.sg/modules/301232c3-6da7-49f4-ab1c-cd3abb815aae","LumiNUS course site")</f>
      </c>
      <c r="F1130" s="0" t="s">
        <v>73</v>
      </c>
      <c r="G1130" s="0" t="s">
        <v>2042</v>
      </c>
      <c r="H1130" s="3">
        <v>32</v>
      </c>
    </row>
    <row r="1131">
      <c r="A1131" s="0" t="s">
        <v>2125</v>
      </c>
      <c r="B1131" s="0" t="s">
        <v>2118</v>
      </c>
      <c r="C1131" s="5">
        <f>=HYPERLINK("https://nusmods.com/modules/ENC5238#timetable","Timetable")</f>
      </c>
      <c r="D1131" s="5"/>
      <c r="E1131" s="5">
        <f>=HYPERLINK("https://luminus.nus.edu.sg/modules/b084369a-3eb7-4f6e-acdf-cb1fdcbe1153","LumiNUS course site")</f>
      </c>
      <c r="F1131" s="0" t="s">
        <v>73</v>
      </c>
      <c r="G1131" s="0" t="s">
        <v>2042</v>
      </c>
      <c r="H1131" s="3">
        <v>32</v>
      </c>
    </row>
    <row r="1132">
      <c r="A1132" s="0" t="s">
        <v>2126</v>
      </c>
      <c r="B1132" s="0" t="s">
        <v>2120</v>
      </c>
      <c r="C1132" s="5">
        <f>=HYPERLINK("https://nusmods.com/modules/ENC5247#timetable","Timetable")</f>
      </c>
      <c r="D1132" s="5"/>
      <c r="E1132" s="5">
        <f>=HYPERLINK("https://luminus.nus.edu.sg/modules/315f969c-7699-4dc7-a8b4-5fe474e8bc0f","LumiNUS course site")</f>
      </c>
      <c r="F1132" s="0" t="s">
        <v>73</v>
      </c>
      <c r="G1132" s="0" t="s">
        <v>2042</v>
      </c>
      <c r="H1132" s="3">
        <v>32</v>
      </c>
    </row>
    <row r="1133">
      <c r="A1133" s="0" t="s">
        <v>2127</v>
      </c>
      <c r="B1133" s="0" t="s">
        <v>602</v>
      </c>
      <c r="C1133" s="5">
        <f>=HYPERLINK("https://nusmods.com/modules/ENC5660#timetable","Timetable")</f>
      </c>
      <c r="D1133" s="5"/>
      <c r="E1133" s="5">
        <f>=HYPERLINK("https://luminus.nus.edu.sg/modules/0a06b0dd-0695-4102-aff4-6dc21ecc283c","LumiNUS course site")</f>
      </c>
      <c r="F1133" s="0" t="s">
        <v>73</v>
      </c>
      <c r="G1133" s="0" t="s">
        <v>2042</v>
      </c>
      <c r="H1133" s="3">
        <v>14</v>
      </c>
    </row>
    <row r="1134">
      <c r="A1134" s="0" t="s">
        <v>2128</v>
      </c>
      <c r="B1134" s="0" t="s">
        <v>2129</v>
      </c>
      <c r="C1134" s="5">
        <f>=HYPERLINK("https://nusmods.com/modules/ENV1101#timetable","Timetable")</f>
      </c>
      <c r="D1134" s="5">
        <f>=HYPERLINK("https://canvas.nus.edu.sg/courses/23191","Canvas course site")</f>
      </c>
      <c r="E1134" s="5"/>
      <c r="F1134" s="0" t="s">
        <v>266</v>
      </c>
      <c r="G1134" s="0" t="s">
        <v>267</v>
      </c>
      <c r="H1134" s="3">
        <v>28</v>
      </c>
    </row>
    <row r="1135">
      <c r="A1135" s="0" t="s">
        <v>2130</v>
      </c>
      <c r="B1135" s="0" t="s">
        <v>2131</v>
      </c>
      <c r="C1135" s="5">
        <f>=HYPERLINK("https://nusmods.com/modules/ENV2103#timetable","Timetable")</f>
      </c>
      <c r="D1135" s="5"/>
      <c r="E1135" s="5">
        <f>=HYPERLINK("https://luminus.nus.edu.sg/modules/b0590bc1-e940-478e-b386-379a2c41dbaa","LumiNUS course site")</f>
      </c>
      <c r="F1135" s="0" t="s">
        <v>266</v>
      </c>
      <c r="G1135" s="0" t="s">
        <v>267</v>
      </c>
      <c r="H1135" s="3">
        <v>48</v>
      </c>
    </row>
    <row r="1136">
      <c r="A1136" s="0" t="s">
        <v>2132</v>
      </c>
      <c r="B1136" s="0" t="s">
        <v>2133</v>
      </c>
      <c r="C1136" s="5">
        <f>=HYPERLINK("https://nusmods.com/modules/ENV2288#timetable","Timetable")</f>
      </c>
      <c r="D1136" s="5">
        <f>=HYPERLINK("https://canvas.nus.edu.sg/courses/23196","Canvas course site")</f>
      </c>
      <c r="E1136" s="5"/>
      <c r="F1136" s="0" t="s">
        <v>266</v>
      </c>
      <c r="G1136" s="0" t="s">
        <v>267</v>
      </c>
      <c r="H1136" s="3">
        <v>0</v>
      </c>
    </row>
    <row r="1137">
      <c r="A1137" s="0" t="s">
        <v>2134</v>
      </c>
      <c r="B1137" s="0" t="s">
        <v>2135</v>
      </c>
      <c r="C1137" s="5">
        <f>=HYPERLINK("https://nusmods.com/modules/ENV2289#timetable","Timetable")</f>
      </c>
      <c r="D1137" s="5">
        <f>=HYPERLINK("https://canvas.nus.edu.sg/courses/23201","Canvas course site")</f>
      </c>
      <c r="E1137" s="5"/>
      <c r="F1137" s="0" t="s">
        <v>266</v>
      </c>
      <c r="G1137" s="0" t="s">
        <v>267</v>
      </c>
      <c r="H1137" s="3">
        <v>0</v>
      </c>
    </row>
    <row r="1138">
      <c r="A1138" s="0" t="s">
        <v>2136</v>
      </c>
      <c r="B1138" s="0" t="s">
        <v>2137</v>
      </c>
      <c r="C1138" s="5">
        <f>=HYPERLINK("https://nusmods.com/modules/ENV2302#timetable","Timetable")</f>
      </c>
      <c r="D1138" s="5">
        <f>=HYPERLINK("https://canvas.nus.edu.sg/courses/23206","Canvas course site")</f>
      </c>
      <c r="E1138" s="5"/>
      <c r="F1138" s="0" t="s">
        <v>926</v>
      </c>
      <c r="G1138" s="0" t="s">
        <v>1288</v>
      </c>
      <c r="H1138" s="3">
        <v>26</v>
      </c>
    </row>
    <row r="1139">
      <c r="A1139" s="0" t="s">
        <v>2138</v>
      </c>
      <c r="B1139" s="0" t="s">
        <v>2139</v>
      </c>
      <c r="C1139" s="5">
        <f>=HYPERLINK("https://nusmods.com/modules/ENV3101#timetable","Timetable")</f>
      </c>
      <c r="D1139" s="5"/>
      <c r="E1139" s="5">
        <f>=HYPERLINK("https://luminus.nus.edu.sg/modules/79363c04-9cc4-4a82-8150-94163c2ef62b","LumiNUS course site")</f>
      </c>
      <c r="F1139" s="0" t="s">
        <v>266</v>
      </c>
      <c r="G1139" s="0" t="s">
        <v>267</v>
      </c>
      <c r="H1139" s="3">
        <v>14</v>
      </c>
    </row>
    <row r="1140">
      <c r="A1140" s="0" t="s">
        <v>2140</v>
      </c>
      <c r="B1140" s="0" t="s">
        <v>2141</v>
      </c>
      <c r="C1140" s="5">
        <f>=HYPERLINK("https://nusmods.com/modules/ENV3288#timetable","Timetable")</f>
      </c>
      <c r="D1140" s="5">
        <f>=HYPERLINK("https://canvas.nus.edu.sg/courses/23216","Canvas course site")</f>
      </c>
      <c r="E1140" s="5"/>
      <c r="F1140" s="0" t="s">
        <v>266</v>
      </c>
      <c r="G1140" s="0" t="s">
        <v>267</v>
      </c>
      <c r="H1140" s="3">
        <v>2</v>
      </c>
    </row>
    <row r="1141">
      <c r="A1141" s="0" t="s">
        <v>2142</v>
      </c>
      <c r="B1141" s="0" t="s">
        <v>2143</v>
      </c>
      <c r="C1141" s="5">
        <f>=HYPERLINK("https://nusmods.com/modules/ENV3289#timetable","Timetable")</f>
      </c>
      <c r="D1141" s="5">
        <f>=HYPERLINK("https://canvas.nus.edu.sg/courses/23221","Canvas course site")</f>
      </c>
      <c r="E1141" s="5"/>
      <c r="F1141" s="0" t="s">
        <v>266</v>
      </c>
      <c r="G1141" s="0" t="s">
        <v>267</v>
      </c>
      <c r="H1141" s="3">
        <v>0</v>
      </c>
    </row>
    <row r="1142">
      <c r="A1142" s="0" t="s">
        <v>2144</v>
      </c>
      <c r="B1142" s="0" t="s">
        <v>2145</v>
      </c>
      <c r="C1142" s="5">
        <f>=HYPERLINK("https://nusmods.com/modules/ES1000#timetable","Timetable")</f>
      </c>
      <c r="D1142" s="5"/>
      <c r="E1142" s="5">
        <f>=HYPERLINK("https://luminus.nus.edu.sg/modules/a58a6899-bee7-4900-a717-41fcf4b0c6d0","LumiNUS course site")</f>
      </c>
      <c r="F1142" s="0" t="s">
        <v>926</v>
      </c>
      <c r="G1142" s="0" t="s">
        <v>1288</v>
      </c>
      <c r="H1142" s="3">
        <v>136</v>
      </c>
    </row>
    <row r="1143">
      <c r="A1143" s="0" t="s">
        <v>2146</v>
      </c>
      <c r="B1143" s="0" t="s">
        <v>2147</v>
      </c>
      <c r="C1143" s="5">
        <f>=HYPERLINK("https://nusmods.com/modules/ES1103#timetable","Timetable")</f>
      </c>
      <c r="D1143" s="5"/>
      <c r="E1143" s="5">
        <f>=HYPERLINK("https://luminus.nus.edu.sg/modules/b61b5be9-6df6-4d84-829f-1afe9d995a4d","LumiNUS course site")</f>
      </c>
      <c r="F1143" s="0" t="s">
        <v>926</v>
      </c>
      <c r="G1143" s="0" t="s">
        <v>1288</v>
      </c>
      <c r="H1143" s="3">
        <v>816</v>
      </c>
    </row>
    <row r="1144">
      <c r="A1144" s="0" t="s">
        <v>2148</v>
      </c>
      <c r="B1144" s="0" t="s">
        <v>2149</v>
      </c>
      <c r="C1144" s="5">
        <f>=HYPERLINK("https://nusmods.com/modules/ES2002#timetable","Timetable")</f>
      </c>
      <c r="D1144" s="5"/>
      <c r="E1144" s="5">
        <f>=HYPERLINK("https://luminus.nus.edu.sg/modules/5cb8124c-6104-48b6-8e8e-4029f65baeab","LumiNUS course site")</f>
      </c>
      <c r="F1144" s="0" t="s">
        <v>926</v>
      </c>
      <c r="G1144" s="0" t="s">
        <v>1288</v>
      </c>
      <c r="H1144" s="3">
        <v>339</v>
      </c>
    </row>
    <row r="1145">
      <c r="A1145" s="0" t="s">
        <v>2150</v>
      </c>
      <c r="B1145" s="0" t="s">
        <v>2151</v>
      </c>
      <c r="C1145" s="5">
        <f>=HYPERLINK("https://nusmods.com/modules/ES2007D#timetable","Timetable")</f>
      </c>
      <c r="D1145" s="5"/>
      <c r="E1145" s="5">
        <f>=HYPERLINK("https://luminus.nus.edu.sg/modules/79e65284-c86f-40f6-ac54-8dcc965c3c28","LumiNUS course site")</f>
      </c>
      <c r="F1145" s="0" t="s">
        <v>926</v>
      </c>
      <c r="G1145" s="0" t="s">
        <v>1288</v>
      </c>
      <c r="H1145" s="3">
        <v>112</v>
      </c>
    </row>
    <row r="1146">
      <c r="A1146" s="0" t="s">
        <v>2152</v>
      </c>
      <c r="B1146" s="0" t="s">
        <v>2153</v>
      </c>
      <c r="C1146" s="5">
        <f>=HYPERLINK("https://nusmods.com/modules/ES2631#timetable","Timetable")</f>
      </c>
      <c r="D1146" s="5"/>
      <c r="E1146" s="5">
        <f>=HYPERLINK("https://luminus.nus.edu.sg/modules/1a70a92c-2994-444d-b94d-82c33dcd94d8","LumiNUS course site")</f>
      </c>
      <c r="F1146" s="0" t="s">
        <v>926</v>
      </c>
      <c r="G1146" s="0" t="s">
        <v>1288</v>
      </c>
      <c r="H1146" s="3">
        <v>527</v>
      </c>
    </row>
    <row r="1147">
      <c r="A1147" s="0" t="s">
        <v>2154</v>
      </c>
      <c r="B1147" s="0" t="s">
        <v>2155</v>
      </c>
      <c r="C1147" s="5">
        <f>=HYPERLINK("https://nusmods.com/modules/ES2660#timetable","Timetable")</f>
      </c>
      <c r="D1147" s="5">
        <f>=HYPERLINK("https://canvas.nus.edu.sg/courses/23245","Canvas course site")</f>
      </c>
      <c r="E1147" s="5">
        <f>=HYPERLINK("https://luminus.nus.edu.sg/modules/dc4d330a-fe0d-4fda-8ca9-dd81faba1355","LumiNUS course site")</f>
      </c>
      <c r="F1147" s="0" t="s">
        <v>926</v>
      </c>
      <c r="G1147" s="0" t="s">
        <v>1288</v>
      </c>
      <c r="H1147" s="3">
        <v>448</v>
      </c>
    </row>
    <row r="1148">
      <c r="A1148" s="0" t="s">
        <v>2156</v>
      </c>
      <c r="B1148" s="0" t="s">
        <v>2157</v>
      </c>
      <c r="C1148" s="5">
        <f>=HYPERLINK("https://nusmods.com/modules/ES5000#timetable","Timetable")</f>
      </c>
      <c r="D1148" s="5">
        <f>=HYPERLINK("https://canvas.nus.edu.sg/courses/23250","Canvas course site")</f>
      </c>
      <c r="E1148" s="5"/>
      <c r="F1148" s="0" t="s">
        <v>926</v>
      </c>
      <c r="G1148" s="0" t="s">
        <v>1288</v>
      </c>
      <c r="H1148" s="3">
        <v>145</v>
      </c>
    </row>
    <row r="1149">
      <c r="A1149" s="0" t="s">
        <v>2158</v>
      </c>
      <c r="B1149" s="0" t="s">
        <v>2159</v>
      </c>
      <c r="C1149" s="5">
        <f>=HYPERLINK("https://nusmods.com/modules/ES5001A#timetable","Timetable")</f>
      </c>
      <c r="D1149" s="5">
        <f>=HYPERLINK("https://canvas.nus.edu.sg/courses/23254","Canvas course site")</f>
      </c>
      <c r="E1149" s="5"/>
      <c r="F1149" s="0" t="s">
        <v>926</v>
      </c>
      <c r="G1149" s="0" t="s">
        <v>1288</v>
      </c>
      <c r="H1149" s="3">
        <v>254</v>
      </c>
    </row>
    <row r="1150">
      <c r="A1150" s="0" t="s">
        <v>2160</v>
      </c>
      <c r="B1150" s="0" t="s">
        <v>2161</v>
      </c>
      <c r="C1150" s="5">
        <f>=HYPERLINK("https://nusmods.com/modules/ES5002#timetable","Timetable")</f>
      </c>
      <c r="D1150" s="5"/>
      <c r="E1150" s="5">
        <f>=HYPERLINK("https://luminus.nus.edu.sg/modules/446ca0bb-41ea-43fe-aca9-1fb25d10155b","LumiNUS course site")</f>
      </c>
      <c r="F1150" s="0" t="s">
        <v>926</v>
      </c>
      <c r="G1150" s="0" t="s">
        <v>1288</v>
      </c>
      <c r="H1150" s="3">
        <v>48</v>
      </c>
    </row>
    <row r="1151">
      <c r="A1151" s="0" t="s">
        <v>2162</v>
      </c>
      <c r="B1151" s="0" t="s">
        <v>2163</v>
      </c>
      <c r="C1151" s="5">
        <f>=HYPERLINK("https://nusmods.com/modules/ES5101#timetable","Timetable")</f>
      </c>
      <c r="D1151" s="5">
        <f>=HYPERLINK("https://canvas.nus.edu.sg/courses/23264","Canvas course site")</f>
      </c>
      <c r="E1151" s="5"/>
      <c r="F1151" s="0" t="s">
        <v>926</v>
      </c>
      <c r="G1151" s="0" t="s">
        <v>1288</v>
      </c>
      <c r="H1151" s="3">
        <v>19</v>
      </c>
    </row>
    <row r="1152">
      <c r="A1152" s="0" t="s">
        <v>2164</v>
      </c>
      <c r="B1152" s="0" t="s">
        <v>2165</v>
      </c>
      <c r="C1152" s="5">
        <f>=HYPERLINK("https://nusmods.com/modules/ESE2000#timetable","Timetable")</f>
      </c>
      <c r="D1152" s="5"/>
      <c r="E1152" s="5">
        <f>=HYPERLINK("https://luminus.nus.edu.sg/modules/dab0fa68-7b2d-4f8f-9850-529d0137edf6","LumiNUS course site")</f>
      </c>
      <c r="F1152" s="0" t="s">
        <v>10</v>
      </c>
      <c r="G1152" s="0" t="s">
        <v>790</v>
      </c>
      <c r="H1152" s="3">
        <v>32</v>
      </c>
    </row>
    <row r="1153">
      <c r="A1153" s="0" t="s">
        <v>2166</v>
      </c>
      <c r="B1153" s="0" t="s">
        <v>2167</v>
      </c>
      <c r="C1153" s="5">
        <f>=HYPERLINK("https://nusmods.com/modules/ESE2001#timetable","Timetable")</f>
      </c>
      <c r="D1153" s="5">
        <f>=HYPERLINK("https://canvas.nus.edu.sg/courses/23274","Canvas course site")</f>
      </c>
      <c r="E1153" s="5"/>
      <c r="F1153" s="0" t="s">
        <v>10</v>
      </c>
      <c r="G1153" s="0" t="s">
        <v>790</v>
      </c>
      <c r="H1153" s="3">
        <v>40</v>
      </c>
    </row>
    <row r="1154">
      <c r="A1154" s="0" t="s">
        <v>2168</v>
      </c>
      <c r="B1154" s="0" t="s">
        <v>2169</v>
      </c>
      <c r="C1154" s="5">
        <f>=HYPERLINK("https://nusmods.com/modules/ESE2101#timetable","Timetable")</f>
      </c>
      <c r="D1154" s="5"/>
      <c r="E1154" s="5">
        <f>=HYPERLINK("https://luminus.nus.edu.sg/modules/7bdd871f-e66d-46b8-915d-319165e48c7e","LumiNUS course site")</f>
      </c>
      <c r="F1154" s="0" t="s">
        <v>10</v>
      </c>
      <c r="G1154" s="0" t="s">
        <v>790</v>
      </c>
      <c r="H1154" s="3">
        <v>47</v>
      </c>
    </row>
    <row r="1155">
      <c r="A1155" s="0" t="s">
        <v>2170</v>
      </c>
      <c r="B1155" s="0" t="s">
        <v>2171</v>
      </c>
      <c r="C1155" s="5">
        <f>=HYPERLINK("https://nusmods.com/modules/ESE3201#timetable","Timetable")</f>
      </c>
      <c r="D1155" s="5">
        <f>=HYPERLINK("https://canvas.nus.edu.sg/courses/23284","Canvas course site")</f>
      </c>
      <c r="E1155" s="5"/>
      <c r="F1155" s="0" t="s">
        <v>10</v>
      </c>
      <c r="G1155" s="0" t="s">
        <v>790</v>
      </c>
      <c r="H1155" s="3">
        <v>21</v>
      </c>
    </row>
    <row r="1156">
      <c r="A1156" s="0" t="s">
        <v>2172</v>
      </c>
      <c r="B1156" s="0" t="s">
        <v>2173</v>
      </c>
      <c r="C1156" s="5">
        <f>=HYPERLINK("https://nusmods.com/modules/ESE3401#timetable","Timetable")</f>
      </c>
      <c r="D1156" s="5"/>
      <c r="E1156" s="5">
        <f>=HYPERLINK("https://luminus.nus.edu.sg/modules/a95ca162-b821-4c17-8071-a9144a9138e9","LumiNUS course site")</f>
      </c>
      <c r="F1156" s="0" t="s">
        <v>10</v>
      </c>
      <c r="G1156" s="0" t="s">
        <v>790</v>
      </c>
      <c r="H1156" s="3">
        <v>20</v>
      </c>
    </row>
    <row r="1157">
      <c r="A1157" s="0" t="s">
        <v>2174</v>
      </c>
      <c r="B1157" s="0" t="s">
        <v>814</v>
      </c>
      <c r="C1157" s="5">
        <f>=HYPERLINK("https://nusmods.com/modules/ESE4501#timetable","Timetable")</f>
      </c>
      <c r="D1157" s="5"/>
      <c r="E1157" s="5">
        <f>=HYPERLINK("https://luminus.nus.edu.sg/modules/fc984d6b-6d0b-4d6c-9453-cda69ceba9f4","LumiNUS course site")</f>
      </c>
      <c r="F1157" s="0" t="s">
        <v>10</v>
      </c>
      <c r="G1157" s="0" t="s">
        <v>790</v>
      </c>
      <c r="H1157" s="3">
        <v>38</v>
      </c>
    </row>
    <row r="1158">
      <c r="A1158" s="0" t="s">
        <v>2175</v>
      </c>
      <c r="B1158" s="0" t="s">
        <v>816</v>
      </c>
      <c r="C1158" s="5">
        <f>=HYPERLINK("https://nusmods.com/modules/ESE4502R#timetable","Timetable")</f>
      </c>
      <c r="D1158" s="5"/>
      <c r="E1158" s="5">
        <f>=HYPERLINK("https://luminus.nus.edu.sg/modules/294f0630-20eb-4a0d-8cd4-c248c05742e7","LumiNUS course site")</f>
      </c>
      <c r="F1158" s="0" t="s">
        <v>10</v>
      </c>
      <c r="G1158" s="0" t="s">
        <v>790</v>
      </c>
      <c r="H1158" s="3">
        <v>38</v>
      </c>
    </row>
    <row r="1159">
      <c r="A1159" s="0" t="s">
        <v>2176</v>
      </c>
      <c r="B1159" s="0" t="s">
        <v>2177</v>
      </c>
      <c r="C1159" s="5">
        <f>=HYPERLINK("https://nusmods.com/modules/ESE5001#timetable","Timetable")</f>
      </c>
      <c r="D1159" s="5"/>
      <c r="E1159" s="5">
        <f>=HYPERLINK("https://luminus.nus.edu.sg/modules/e1f8f1ea-7ef5-4782-b032-4011a5c716bc","LumiNUS course site")</f>
      </c>
      <c r="F1159" s="0" t="s">
        <v>10</v>
      </c>
      <c r="G1159" s="0" t="s">
        <v>790</v>
      </c>
      <c r="H1159" s="3">
        <v>80</v>
      </c>
    </row>
    <row r="1160">
      <c r="A1160" s="0" t="s">
        <v>2178</v>
      </c>
      <c r="B1160" s="0" t="s">
        <v>2177</v>
      </c>
      <c r="C1160" s="5">
        <f>=HYPERLINK("https://nusmods.com/modules/ESE5001AB#timetable","Timetable")</f>
      </c>
      <c r="D1160" s="5"/>
      <c r="E1160" s="5">
        <f>=HYPERLINK("https://luminus.nus.edu.sg/modules/44087f3e-4a5b-4d7c-9c61-84e3aa50a008","LumiNUS course site")</f>
      </c>
      <c r="F1160" s="0" t="s">
        <v>10</v>
      </c>
      <c r="G1160" s="0" t="s">
        <v>790</v>
      </c>
      <c r="H1160" s="3">
        <v>2</v>
      </c>
    </row>
    <row r="1161">
      <c r="A1161" s="0" t="s">
        <v>2179</v>
      </c>
      <c r="B1161" s="0" t="s">
        <v>820</v>
      </c>
      <c r="C1161" s="5">
        <f>=HYPERLINK("https://nusmods.com/modules/ESE5004#timetable","Timetable")</f>
      </c>
      <c r="D1161" s="5"/>
      <c r="E1161" s="5">
        <f>=HYPERLINK("https://luminus.nus.edu.sg/modules/2ce50465-f796-4d0e-ba72-6d721afd6083","LumiNUS course site")</f>
      </c>
      <c r="F1161" s="0" t="s">
        <v>10</v>
      </c>
      <c r="G1161" s="0" t="s">
        <v>790</v>
      </c>
      <c r="H1161" s="3">
        <v>36</v>
      </c>
    </row>
    <row r="1162">
      <c r="A1162" s="0" t="s">
        <v>2180</v>
      </c>
      <c r="B1162" s="0" t="s">
        <v>2181</v>
      </c>
      <c r="C1162" s="5">
        <f>=HYPERLINK("https://nusmods.com/modules/ESE5204#timetable","Timetable")</f>
      </c>
      <c r="D1162" s="5"/>
      <c r="E1162" s="5">
        <f>=HYPERLINK("https://luminus.nus.edu.sg/modules/6342beaa-047f-495f-8803-46b0b6d2a37c","LumiNUS course site")</f>
      </c>
      <c r="F1162" s="0" t="s">
        <v>10</v>
      </c>
      <c r="G1162" s="0" t="s">
        <v>790</v>
      </c>
      <c r="H1162" s="3">
        <v>86</v>
      </c>
    </row>
    <row r="1163">
      <c r="A1163" s="0" t="s">
        <v>2182</v>
      </c>
      <c r="B1163" s="0" t="s">
        <v>2183</v>
      </c>
      <c r="C1163" s="5">
        <f>=HYPERLINK("https://nusmods.com/modules/ESE5204A#timetable","Timetable")</f>
      </c>
      <c r="D1163" s="5"/>
      <c r="E1163" s="5"/>
      <c r="F1163" s="0" t="s">
        <v>10</v>
      </c>
      <c r="G1163" s="0" t="s">
        <v>790</v>
      </c>
      <c r="H1163" s="3">
        <v>2</v>
      </c>
    </row>
    <row r="1164">
      <c r="A1164" s="0" t="s">
        <v>2184</v>
      </c>
      <c r="B1164" s="0" t="s">
        <v>2185</v>
      </c>
      <c r="C1164" s="5">
        <f>=HYPERLINK("https://nusmods.com/modules/ESE5204B#timetable","Timetable")</f>
      </c>
      <c r="D1164" s="5"/>
      <c r="E1164" s="5"/>
      <c r="F1164" s="0" t="s">
        <v>10</v>
      </c>
      <c r="G1164" s="0" t="s">
        <v>790</v>
      </c>
      <c r="H1164" s="3">
        <v>3</v>
      </c>
    </row>
    <row r="1165">
      <c r="A1165" s="0" t="s">
        <v>2186</v>
      </c>
      <c r="B1165" s="0" t="s">
        <v>2187</v>
      </c>
      <c r="C1165" s="5">
        <f>=HYPERLINK("https://nusmods.com/modules/ESE5301#timetable","Timetable")</f>
      </c>
      <c r="D1165" s="5"/>
      <c r="E1165" s="5">
        <f>=HYPERLINK("https://luminus.nus.edu.sg/modules/01f3e728-e4d4-4224-a5a3-3537e60e3220","LumiNUS course site")</f>
      </c>
      <c r="F1165" s="0" t="s">
        <v>10</v>
      </c>
      <c r="G1165" s="0" t="s">
        <v>790</v>
      </c>
      <c r="H1165" s="3">
        <v>72</v>
      </c>
    </row>
    <row r="1166">
      <c r="A1166" s="0" t="s">
        <v>2188</v>
      </c>
      <c r="B1166" s="0" t="s">
        <v>2189</v>
      </c>
      <c r="C1166" s="5">
        <f>=HYPERLINK("https://nusmods.com/modules/ESE5404#timetable","Timetable")</f>
      </c>
      <c r="D1166" s="5"/>
      <c r="E1166" s="5">
        <f>=HYPERLINK("https://luminus.nus.edu.sg/modules/5acc4ac5-75ac-4589-8994-3884d6ccf993","LumiNUS course site")</f>
      </c>
      <c r="F1166" s="0" t="s">
        <v>10</v>
      </c>
      <c r="G1166" s="0" t="s">
        <v>790</v>
      </c>
      <c r="H1166" s="3">
        <v>71</v>
      </c>
    </row>
    <row r="1167">
      <c r="A1167" s="0" t="s">
        <v>2190</v>
      </c>
      <c r="B1167" s="0" t="s">
        <v>647</v>
      </c>
      <c r="C1167" s="5">
        <f>=HYPERLINK("https://nusmods.com/modules/ESE5666#timetable","Timetable")</f>
      </c>
      <c r="D1167" s="5"/>
      <c r="E1167" s="5"/>
      <c r="F1167" s="0" t="s">
        <v>10</v>
      </c>
      <c r="G1167" s="0" t="s">
        <v>790</v>
      </c>
      <c r="H1167" s="3">
        <v>1</v>
      </c>
    </row>
    <row r="1168">
      <c r="A1168" s="0" t="s">
        <v>2191</v>
      </c>
      <c r="B1168" s="0" t="s">
        <v>2192</v>
      </c>
      <c r="C1168" s="5">
        <f>=HYPERLINK("https://nusmods.com/modules/ESE5880A#timetable","Timetable")</f>
      </c>
      <c r="D1168" s="5"/>
      <c r="E1168" s="5">
        <f>=HYPERLINK("https://luminus.nus.edu.sg/modules/9b1a5ab7-0135-4622-8d1a-c48d5d6522a9","LumiNUS course site")</f>
      </c>
      <c r="F1168" s="0" t="s">
        <v>10</v>
      </c>
      <c r="G1168" s="0" t="s">
        <v>790</v>
      </c>
      <c r="H1168" s="3">
        <v>120</v>
      </c>
    </row>
    <row r="1169">
      <c r="A1169" s="0" t="s">
        <v>2193</v>
      </c>
      <c r="B1169" s="0" t="s">
        <v>2194</v>
      </c>
      <c r="C1169" s="5">
        <f>=HYPERLINK("https://nusmods.com/modules/ESE5901B#timetable","Timetable")</f>
      </c>
      <c r="D1169" s="5"/>
      <c r="E1169" s="5"/>
      <c r="F1169" s="0" t="s">
        <v>10</v>
      </c>
      <c r="G1169" s="0" t="s">
        <v>790</v>
      </c>
      <c r="H1169" s="3">
        <v>1</v>
      </c>
    </row>
    <row r="1170">
      <c r="A1170" s="0" t="s">
        <v>2195</v>
      </c>
      <c r="B1170" s="0" t="s">
        <v>649</v>
      </c>
      <c r="C1170" s="5">
        <f>=HYPERLINK("https://nusmods.com/modules/ESE5999#timetable","Timetable")</f>
      </c>
      <c r="D1170" s="5"/>
      <c r="E1170" s="5"/>
      <c r="F1170" s="0" t="s">
        <v>10</v>
      </c>
      <c r="G1170" s="0" t="s">
        <v>790</v>
      </c>
      <c r="H1170" s="3">
        <v>10</v>
      </c>
    </row>
    <row r="1171">
      <c r="A1171" s="0" t="s">
        <v>2196</v>
      </c>
      <c r="B1171" s="0" t="s">
        <v>2197</v>
      </c>
      <c r="C1171" s="5">
        <f>=HYPERLINK("https://nusmods.com/modules/ESE6301#timetable","Timetable")</f>
      </c>
      <c r="D1171" s="5"/>
      <c r="E1171" s="5">
        <f>=HYPERLINK("https://luminus.nus.edu.sg/modules/c53f9932-9cbf-4870-89c0-519e19a3bc27","LumiNUS course site")</f>
      </c>
      <c r="F1171" s="0" t="s">
        <v>10</v>
      </c>
      <c r="G1171" s="0" t="s">
        <v>790</v>
      </c>
      <c r="H1171" s="3">
        <v>4</v>
      </c>
    </row>
    <row r="1172">
      <c r="A1172" s="0" t="s">
        <v>2198</v>
      </c>
      <c r="B1172" s="0" t="s">
        <v>651</v>
      </c>
      <c r="C1172" s="5">
        <f>=HYPERLINK("https://nusmods.com/modules/ESE6999#timetable","Timetable")</f>
      </c>
      <c r="D1172" s="5"/>
      <c r="E1172" s="5"/>
      <c r="F1172" s="0" t="s">
        <v>10</v>
      </c>
      <c r="G1172" s="0" t="s">
        <v>790</v>
      </c>
      <c r="H1172" s="3">
        <v>35</v>
      </c>
    </row>
    <row r="1173">
      <c r="A1173" s="0" t="s">
        <v>2199</v>
      </c>
      <c r="B1173" s="0" t="s">
        <v>2200</v>
      </c>
      <c r="C1173" s="5">
        <f>=HYPERLINK("https://nusmods.com/modules/ESP1111#timetable","Timetable")</f>
      </c>
      <c r="D1173" s="5"/>
      <c r="E1173" s="5">
        <f>=HYPERLINK("https://luminus.nus.edu.sg/modules/34909a56-641e-4581-8056-2c0e2957447a","LumiNUS course site")</f>
      </c>
      <c r="F1173" s="0" t="s">
        <v>10</v>
      </c>
      <c r="G1173" s="0" t="s">
        <v>2201</v>
      </c>
      <c r="H1173" s="3">
        <v>32</v>
      </c>
    </row>
    <row r="1174">
      <c r="A1174" s="0" t="s">
        <v>2202</v>
      </c>
      <c r="B1174" s="0" t="s">
        <v>2203</v>
      </c>
      <c r="C1174" s="5">
        <f>=HYPERLINK("https://nusmods.com/modules/ESP2107#timetable","Timetable")</f>
      </c>
      <c r="D1174" s="5"/>
      <c r="E1174" s="5">
        <f>=HYPERLINK("https://luminus.nus.edu.sg/modules/3379ed36-7f0e-46a8-8097-f7bc845a0d31","LumiNUS course site")</f>
      </c>
      <c r="F1174" s="0" t="s">
        <v>10</v>
      </c>
      <c r="G1174" s="0" t="s">
        <v>2201</v>
      </c>
      <c r="H1174" s="3">
        <v>44</v>
      </c>
    </row>
    <row r="1175">
      <c r="A1175" s="0" t="s">
        <v>2204</v>
      </c>
      <c r="B1175" s="0" t="s">
        <v>2205</v>
      </c>
      <c r="C1175" s="5">
        <f>=HYPERLINK("https://nusmods.com/modules/ESP3201#timetable","Timetable")</f>
      </c>
      <c r="D1175" s="5"/>
      <c r="E1175" s="5">
        <f>=HYPERLINK("https://luminus.nus.edu.sg/modules/9f4c05ec-085d-4d33-88e9-977ca682a8d3","LumiNUS course site")</f>
      </c>
      <c r="F1175" s="0" t="s">
        <v>10</v>
      </c>
      <c r="G1175" s="0" t="s">
        <v>2201</v>
      </c>
      <c r="H1175" s="3">
        <v>18</v>
      </c>
    </row>
    <row r="1176">
      <c r="A1176" s="0" t="s">
        <v>2206</v>
      </c>
      <c r="B1176" s="0" t="s">
        <v>2207</v>
      </c>
      <c r="C1176" s="5">
        <f>=HYPERLINK("https://nusmods.com/modules/ESP3902#timetable","Timetable")</f>
      </c>
      <c r="D1176" s="5">
        <f>=HYPERLINK("https://canvas.nus.edu.sg/courses/23398","Canvas course site")</f>
      </c>
      <c r="E1176" s="5"/>
      <c r="F1176" s="0" t="s">
        <v>10</v>
      </c>
      <c r="G1176" s="0" t="s">
        <v>2201</v>
      </c>
      <c r="H1176" s="3">
        <v>24</v>
      </c>
    </row>
    <row r="1177">
      <c r="A1177" s="0" t="s">
        <v>2208</v>
      </c>
      <c r="B1177" s="0" t="s">
        <v>820</v>
      </c>
      <c r="C1177" s="5">
        <f>=HYPERLINK("https://nusmods.com/modules/ESP4901#timetable","Timetable")</f>
      </c>
      <c r="D1177" s="5">
        <f>=HYPERLINK("https://canvas.nus.edu.sg/courses/23403","Canvas course site")</f>
      </c>
      <c r="E1177" s="5"/>
      <c r="F1177" s="0" t="s">
        <v>10</v>
      </c>
      <c r="G1177" s="0" t="s">
        <v>2201</v>
      </c>
      <c r="H1177" s="3">
        <v>32</v>
      </c>
    </row>
    <row r="1178">
      <c r="A1178" s="0" t="s">
        <v>2209</v>
      </c>
      <c r="B1178" s="0" t="s">
        <v>2210</v>
      </c>
      <c r="C1178" s="5">
        <f>=HYPERLINK("https://nusmods.com/modules/EU1101E#timetable","Timetable")</f>
      </c>
      <c r="D1178" s="5"/>
      <c r="E1178" s="5">
        <f>=HYPERLINK("https://luminus.nus.edu.sg/modules/7e621218-f0e6-4372-98c2-8470acdbaaad","LumiNUS course site")</f>
      </c>
      <c r="F1178" s="0" t="s">
        <v>73</v>
      </c>
      <c r="G1178" s="0" t="s">
        <v>81</v>
      </c>
      <c r="H1178" s="3">
        <v>22</v>
      </c>
    </row>
    <row r="1179">
      <c r="A1179" s="0" t="s">
        <v>2211</v>
      </c>
      <c r="B1179" s="0" t="s">
        <v>2212</v>
      </c>
      <c r="C1179" s="5">
        <f>=HYPERLINK("https://nusmods.com/modules/EU2214#timetable","Timetable")</f>
      </c>
      <c r="D1179" s="5">
        <f>=HYPERLINK("https://canvas.nus.edu.sg/courses/26049","Canvas course site")</f>
      </c>
      <c r="E1179" s="5">
        <f>=HYPERLINK("https://luminus.nus.edu.sg/modules/3e2bd55f-467b-491f-a861-3d8b54a06dfc","LumiNUS course site")</f>
      </c>
      <c r="F1179" s="0" t="s">
        <v>73</v>
      </c>
      <c r="G1179" s="0" t="s">
        <v>1514</v>
      </c>
      <c r="H1179" s="3">
        <v>1</v>
      </c>
    </row>
    <row r="1180">
      <c r="A1180" s="0" t="s">
        <v>2213</v>
      </c>
      <c r="B1180" s="0" t="s">
        <v>2214</v>
      </c>
      <c r="C1180" s="5">
        <f>=HYPERLINK("https://nusmods.com/modules/EU3224#timetable","Timetable")</f>
      </c>
      <c r="D1180" s="5"/>
      <c r="E1180" s="5">
        <f>=HYPERLINK("https://luminus.nus.edu.sg/modules/8a1f4d0a-5e00-46d6-a7cc-edb3516951d8","LumiNUS course site")</f>
      </c>
      <c r="F1180" s="0" t="s">
        <v>73</v>
      </c>
      <c r="G1180" s="0" t="s">
        <v>94</v>
      </c>
      <c r="H1180" s="3">
        <v>1</v>
      </c>
    </row>
    <row r="1181">
      <c r="A1181" s="0" t="s">
        <v>2215</v>
      </c>
      <c r="B1181" s="0" t="s">
        <v>2216</v>
      </c>
      <c r="C1181" s="5">
        <f>=HYPERLINK("https://nusmods.com/modules/EU4226#timetable","Timetable")</f>
      </c>
      <c r="D1181" s="5">
        <f>=HYPERLINK("https://canvas.nus.edu.sg/courses/26016","Canvas course site")</f>
      </c>
      <c r="E1181" s="5">
        <f>=HYPERLINK("https://luminus.nus.edu.sg/modules/2ccd1696-f963-4754-a2a5-6bee65772240","LumiNUS course site")</f>
      </c>
      <c r="F1181" s="0" t="s">
        <v>73</v>
      </c>
      <c r="G1181" s="0" t="s">
        <v>81</v>
      </c>
      <c r="H1181" s="3">
        <v>0</v>
      </c>
    </row>
    <row r="1182">
      <c r="A1182" s="0" t="s">
        <v>2217</v>
      </c>
      <c r="B1182" s="0" t="s">
        <v>980</v>
      </c>
      <c r="C1182" s="5">
        <f>=HYPERLINK("https://nusmods.com/modules/EU4401#timetable","Timetable")</f>
      </c>
      <c r="D1182" s="5"/>
      <c r="E1182" s="5"/>
      <c r="F1182" s="0" t="s">
        <v>73</v>
      </c>
      <c r="G1182" s="0" t="s">
        <v>81</v>
      </c>
      <c r="H1182" s="3">
        <v>0</v>
      </c>
    </row>
    <row r="1183">
      <c r="A1183" s="0" t="s">
        <v>2218</v>
      </c>
      <c r="B1183" s="0" t="s">
        <v>602</v>
      </c>
      <c r="C1183" s="5">
        <f>=HYPERLINK("https://nusmods.com/modules/EU4660#timetable","Timetable")</f>
      </c>
      <c r="D1183" s="5"/>
      <c r="E1183" s="5"/>
      <c r="F1183" s="0" t="s">
        <v>73</v>
      </c>
      <c r="G1183" s="0" t="s">
        <v>81</v>
      </c>
      <c r="H1183" s="3">
        <v>0</v>
      </c>
    </row>
    <row r="1184">
      <c r="A1184" s="0" t="s">
        <v>2219</v>
      </c>
      <c r="B1184" s="0" t="s">
        <v>2220</v>
      </c>
      <c r="C1184" s="5">
        <f>=HYPERLINK("https://nusmods.com/modules/FAS1101#timetable","Timetable")</f>
      </c>
      <c r="D1184" s="5"/>
      <c r="E1184" s="5">
        <f>=HYPERLINK("https://luminus.nus.edu.sg/modules/9fe839b7-a9c9-40fd-ac82-d31047b6f03e","LumiNUS course site")</f>
      </c>
      <c r="F1184" s="0" t="s">
        <v>926</v>
      </c>
      <c r="G1184" s="0" t="s">
        <v>1288</v>
      </c>
      <c r="H1184" s="3">
        <v>366</v>
      </c>
    </row>
    <row r="1185">
      <c r="A1185" s="0" t="s">
        <v>2221</v>
      </c>
      <c r="B1185" s="0" t="s">
        <v>2222</v>
      </c>
      <c r="C1185" s="5">
        <f>=HYPERLINK("https://nusmods.com/modules/FAS2551#timetable","Timetable")</f>
      </c>
      <c r="D1185" s="5">
        <f>=HYPERLINK("https://canvas.nus.edu.sg/courses/23427","Canvas course site")</f>
      </c>
      <c r="E1185" s="5">
        <f>=HYPERLINK("https://luminus.nus.edu.sg/modules/f562d28d-801e-47a6-b9f6-dc735b92b7b9","LumiNUS course site")</f>
      </c>
      <c r="F1185" s="0" t="s">
        <v>73</v>
      </c>
      <c r="G1185" s="0" t="s">
        <v>2223</v>
      </c>
      <c r="H1185" s="3">
        <v>22</v>
      </c>
    </row>
    <row r="1186">
      <c r="A1186" s="0" t="s">
        <v>2224</v>
      </c>
      <c r="B1186" s="0" t="s">
        <v>2225</v>
      </c>
      <c r="C1186" s="5">
        <f>=HYPERLINK("https://nusmods.com/modules/FAS2551A#timetable","Timetable")</f>
      </c>
      <c r="D1186" s="5">
        <f>=HYPERLINK("https://canvas.nus.edu.sg/courses/26166","Canvas course site")</f>
      </c>
      <c r="E1186" s="5">
        <f>=HYPERLINK("https://luminus.nus.edu.sg/modules/d093d427-bfce-4e07-906b-6d0e8d9c7723","LumiNUS course site")</f>
      </c>
      <c r="F1186" s="0" t="s">
        <v>73</v>
      </c>
      <c r="G1186" s="0" t="s">
        <v>2223</v>
      </c>
      <c r="H1186" s="3">
        <v>6</v>
      </c>
    </row>
    <row r="1187">
      <c r="A1187" s="0" t="s">
        <v>2226</v>
      </c>
      <c r="B1187" s="0" t="s">
        <v>2227</v>
      </c>
      <c r="C1187" s="5">
        <f>=HYPERLINK("https://nusmods.com/modules/FAS2552#timetable","Timetable")</f>
      </c>
      <c r="D1187" s="5">
        <f>=HYPERLINK("https://canvas.nus.edu.sg/courses/23432","Canvas course site")</f>
      </c>
      <c r="E1187" s="5">
        <f>=HYPERLINK("https://luminus.nus.edu.sg/modules/f722efaf-bf2d-4b27-9208-088123c780e3","LumiNUS course site")</f>
      </c>
      <c r="F1187" s="0" t="s">
        <v>73</v>
      </c>
      <c r="G1187" s="0" t="s">
        <v>2223</v>
      </c>
      <c r="H1187" s="3">
        <v>19</v>
      </c>
    </row>
    <row r="1188">
      <c r="A1188" s="0" t="s">
        <v>2228</v>
      </c>
      <c r="B1188" s="0" t="s">
        <v>2229</v>
      </c>
      <c r="C1188" s="5">
        <f>=HYPERLINK("https://nusmods.com/modules/FAS2552A#timetable","Timetable")</f>
      </c>
      <c r="D1188" s="5"/>
      <c r="E1188" s="5">
        <f>=HYPERLINK("https://luminus.nus.edu.sg/modules/8f9f0b14-0515-4674-9229-a5058ef868df","LumiNUS course site")</f>
      </c>
      <c r="F1188" s="0" t="s">
        <v>73</v>
      </c>
      <c r="G1188" s="0" t="s">
        <v>2223</v>
      </c>
      <c r="H1188" s="3">
        <v>0</v>
      </c>
    </row>
    <row r="1189">
      <c r="A1189" s="0" t="s">
        <v>2230</v>
      </c>
      <c r="B1189" s="0" t="s">
        <v>2231</v>
      </c>
      <c r="C1189" s="5">
        <f>=HYPERLINK("https://nusmods.com/modules/FDP2011#timetable","Timetable")</f>
      </c>
      <c r="D1189" s="5"/>
      <c r="E1189" s="5"/>
      <c r="F1189" s="0" t="s">
        <v>266</v>
      </c>
      <c r="G1189" s="0" t="s">
        <v>1536</v>
      </c>
      <c r="H1189" s="3">
        <v>4</v>
      </c>
    </row>
    <row r="1190">
      <c r="A1190" s="0" t="s">
        <v>2232</v>
      </c>
      <c r="B1190" s="0" t="s">
        <v>2233</v>
      </c>
      <c r="C1190" s="5">
        <f>=HYPERLINK("https://nusmods.com/modules/FDP2021#timetable","Timetable")</f>
      </c>
      <c r="D1190" s="5"/>
      <c r="E1190" s="5"/>
      <c r="F1190" s="0" t="s">
        <v>266</v>
      </c>
      <c r="G1190" s="0" t="s">
        <v>1536</v>
      </c>
      <c r="H1190" s="3">
        <v>4</v>
      </c>
    </row>
    <row r="1191">
      <c r="A1191" s="0" t="s">
        <v>2234</v>
      </c>
      <c r="B1191" s="0" t="s">
        <v>2235</v>
      </c>
      <c r="C1191" s="5">
        <f>=HYPERLINK("https://nusmods.com/modules/FE5101#timetable","Timetable")</f>
      </c>
      <c r="D1191" s="5"/>
      <c r="E1191" s="5">
        <f>=HYPERLINK("https://luminus.nus.edu.sg/modules/744819d3-6618-40b1-aeaa-f826dfd3b0c3","LumiNUS course site")</f>
      </c>
      <c r="F1191" s="0" t="s">
        <v>2236</v>
      </c>
      <c r="G1191" s="0" t="s">
        <v>2236</v>
      </c>
      <c r="H1191" s="3">
        <v>104</v>
      </c>
    </row>
    <row r="1192">
      <c r="A1192" s="0" t="s">
        <v>2237</v>
      </c>
      <c r="B1192" s="0" t="s">
        <v>2238</v>
      </c>
      <c r="C1192" s="5">
        <f>=HYPERLINK("https://nusmods.com/modules/FE5108#timetable","Timetable")</f>
      </c>
      <c r="D1192" s="5"/>
      <c r="E1192" s="5">
        <f>=HYPERLINK("https://luminus.nus.edu.sg/modules/a203b604-aa92-4f50-bc99-b2a77728b50b","LumiNUS course site")</f>
      </c>
      <c r="F1192" s="0" t="s">
        <v>2236</v>
      </c>
      <c r="G1192" s="0" t="s">
        <v>2236</v>
      </c>
      <c r="H1192" s="3">
        <v>44</v>
      </c>
    </row>
    <row r="1193">
      <c r="A1193" s="0" t="s">
        <v>2239</v>
      </c>
      <c r="B1193" s="0" t="s">
        <v>2240</v>
      </c>
      <c r="C1193" s="5">
        <f>=HYPERLINK("https://nusmods.com/modules/FE5110#timetable","Timetable")</f>
      </c>
      <c r="D1193" s="5"/>
      <c r="E1193" s="5">
        <f>=HYPERLINK("https://luminus.nus.edu.sg/modules/99ebc898-bca0-4fb3-9b81-569cb36dd32e","LumiNUS course site")</f>
      </c>
      <c r="F1193" s="0" t="s">
        <v>2236</v>
      </c>
      <c r="G1193" s="0" t="s">
        <v>2236</v>
      </c>
      <c r="H1193" s="3">
        <v>46</v>
      </c>
    </row>
    <row r="1194">
      <c r="A1194" s="0" t="s">
        <v>2241</v>
      </c>
      <c r="B1194" s="0" t="s">
        <v>2242</v>
      </c>
      <c r="C1194" s="5">
        <f>=HYPERLINK("https://nusmods.com/modules/FE5112#timetable","Timetable")</f>
      </c>
      <c r="D1194" s="5"/>
      <c r="E1194" s="5">
        <f>=HYPERLINK("https://luminus.nus.edu.sg/modules/1ddab55a-48f4-4d66-85b4-1baecf56c993","LumiNUS course site")</f>
      </c>
      <c r="F1194" s="0" t="s">
        <v>2236</v>
      </c>
      <c r="G1194" s="0" t="s">
        <v>2236</v>
      </c>
      <c r="H1194" s="3">
        <v>95</v>
      </c>
    </row>
    <row r="1195">
      <c r="A1195" s="0" t="s">
        <v>2243</v>
      </c>
      <c r="B1195" s="0" t="s">
        <v>2244</v>
      </c>
      <c r="C1195" s="5">
        <f>=HYPERLINK("https://nusmods.com/modules/FE5209#timetable","Timetable")</f>
      </c>
      <c r="D1195" s="5"/>
      <c r="E1195" s="5">
        <f>=HYPERLINK("https://luminus.nus.edu.sg/modules/44d77e2a-5ef3-42e0-8834-aad36f40025f","LumiNUS course site")</f>
      </c>
      <c r="F1195" s="0" t="s">
        <v>2236</v>
      </c>
      <c r="G1195" s="0" t="s">
        <v>2236</v>
      </c>
      <c r="H1195" s="3">
        <v>92</v>
      </c>
    </row>
    <row r="1196">
      <c r="A1196" s="0" t="s">
        <v>2245</v>
      </c>
      <c r="B1196" s="0" t="s">
        <v>2246</v>
      </c>
      <c r="C1196" s="5">
        <f>=HYPERLINK("https://nusmods.com/modules/FE5221#timetable","Timetable")</f>
      </c>
      <c r="D1196" s="5"/>
      <c r="E1196" s="5">
        <f>=HYPERLINK("https://luminus.nus.edu.sg/modules/ce1be66a-fc65-4e48-80ec-bfe8f51fb1ea","LumiNUS course site")</f>
      </c>
      <c r="F1196" s="0" t="s">
        <v>2236</v>
      </c>
      <c r="G1196" s="0" t="s">
        <v>2236</v>
      </c>
      <c r="H1196" s="3">
        <v>58</v>
      </c>
    </row>
    <row r="1197">
      <c r="A1197" s="0" t="s">
        <v>2247</v>
      </c>
      <c r="B1197" s="0" t="s">
        <v>2248</v>
      </c>
      <c r="C1197" s="5">
        <f>=HYPERLINK("https://nusmods.com/modules/FE5222#timetable","Timetable")</f>
      </c>
      <c r="D1197" s="5"/>
      <c r="E1197" s="5">
        <f>=HYPERLINK("https://luminus.nus.edu.sg/modules/80ae3ee8-f863-4a4e-a0c8-6a231b3ef469","LumiNUS course site")</f>
      </c>
      <c r="F1197" s="0" t="s">
        <v>2236</v>
      </c>
      <c r="G1197" s="0" t="s">
        <v>2236</v>
      </c>
      <c r="H1197" s="3">
        <v>39</v>
      </c>
    </row>
    <row r="1198">
      <c r="A1198" s="0" t="s">
        <v>2249</v>
      </c>
      <c r="B1198" s="0" t="s">
        <v>2250</v>
      </c>
      <c r="C1198" s="5">
        <f>=HYPERLINK("https://nusmods.com/modules/FE5223#timetable","Timetable")</f>
      </c>
      <c r="D1198" s="5"/>
      <c r="E1198" s="5">
        <f>=HYPERLINK("https://luminus.nus.edu.sg/modules/62f47242-9d40-4bf8-831a-1341fbc2f9d6","LumiNUS course site")</f>
      </c>
      <c r="F1198" s="0" t="s">
        <v>2236</v>
      </c>
      <c r="G1198" s="0" t="s">
        <v>2236</v>
      </c>
      <c r="H1198" s="3">
        <v>20</v>
      </c>
    </row>
    <row r="1199">
      <c r="A1199" s="0" t="s">
        <v>2251</v>
      </c>
      <c r="B1199" s="0" t="s">
        <v>2252</v>
      </c>
      <c r="C1199" s="5">
        <f>=HYPERLINK("https://nusmods.com/modules/FE5226#timetable","Timetable")</f>
      </c>
      <c r="D1199" s="5"/>
      <c r="E1199" s="5">
        <f>=HYPERLINK("https://luminus.nus.edu.sg/modules/66ae098b-4e42-40c2-bb51-95d6e3d8383a","LumiNUS course site")</f>
      </c>
      <c r="F1199" s="0" t="s">
        <v>2236</v>
      </c>
      <c r="G1199" s="0" t="s">
        <v>2236</v>
      </c>
      <c r="H1199" s="3">
        <v>74</v>
      </c>
    </row>
    <row r="1200">
      <c r="A1200" s="0" t="s">
        <v>2253</v>
      </c>
      <c r="B1200" s="0" t="s">
        <v>654</v>
      </c>
      <c r="C1200" s="5">
        <f>=HYPERLINK("https://nusmods.com/modules/FIN2704#timetable","Timetable")</f>
      </c>
      <c r="D1200" s="5"/>
      <c r="E1200" s="5">
        <f>=HYPERLINK("https://luminus.nus.edu.sg/modules/373cf9fd-03aa-48ac-98e4-8e4e2b26b1b4","LumiNUS course site")</f>
      </c>
      <c r="F1200" s="0" t="s">
        <v>28</v>
      </c>
      <c r="G1200" s="0" t="s">
        <v>654</v>
      </c>
      <c r="H1200" s="3">
        <v>751</v>
      </c>
    </row>
    <row r="1201">
      <c r="A1201" s="0" t="s">
        <v>2254</v>
      </c>
      <c r="B1201" s="0" t="s">
        <v>654</v>
      </c>
      <c r="C1201" s="5">
        <f>=HYPERLINK("https://nusmods.com/modules/FIN2704X#timetable","Timetable")</f>
      </c>
      <c r="D1201" s="5"/>
      <c r="E1201" s="5">
        <f>=HYPERLINK("https://luminus.nus.edu.sg/modules/373cf9fd-03aa-48ac-98e4-8e4e2b26b1b4","LumiNUS course site")</f>
      </c>
      <c r="F1201" s="0" t="s">
        <v>28</v>
      </c>
      <c r="G1201" s="0" t="s">
        <v>654</v>
      </c>
      <c r="H1201" s="3">
        <v>133</v>
      </c>
    </row>
    <row r="1202">
      <c r="A1202" s="0" t="s">
        <v>2255</v>
      </c>
      <c r="B1202" s="0" t="s">
        <v>2256</v>
      </c>
      <c r="C1202" s="5">
        <f>=HYPERLINK("https://nusmods.com/modules/FIN3129#timetable","Timetable")</f>
      </c>
      <c r="D1202" s="5"/>
      <c r="E1202" s="5"/>
      <c r="F1202" s="0" t="s">
        <v>28</v>
      </c>
      <c r="G1202" s="0" t="s">
        <v>654</v>
      </c>
      <c r="H1202" s="3">
        <v>0</v>
      </c>
    </row>
    <row r="1203">
      <c r="A1203" s="0" t="s">
        <v>2257</v>
      </c>
      <c r="B1203" s="0" t="s">
        <v>2256</v>
      </c>
      <c r="C1203" s="5">
        <f>=HYPERLINK("https://nusmods.com/modules/FIN3139#timetable","Timetable")</f>
      </c>
      <c r="D1203" s="5"/>
      <c r="E1203" s="5"/>
      <c r="F1203" s="0" t="s">
        <v>28</v>
      </c>
      <c r="G1203" s="0" t="s">
        <v>654</v>
      </c>
      <c r="H1203" s="3">
        <v>0</v>
      </c>
    </row>
    <row r="1204">
      <c r="A1204" s="0" t="s">
        <v>2258</v>
      </c>
      <c r="B1204" s="0" t="s">
        <v>2259</v>
      </c>
      <c r="C1204" s="5">
        <f>=HYPERLINK("https://nusmods.com/modules/FIN3701A#timetable","Timetable")</f>
      </c>
      <c r="D1204" s="5"/>
      <c r="E1204" s="5">
        <f>=HYPERLINK("https://luminus.nus.edu.sg/modules/43169ad6-8a8c-415f-bad9-f415efd83347","LumiNUS course site")</f>
      </c>
      <c r="F1204" s="0" t="s">
        <v>28</v>
      </c>
      <c r="G1204" s="0" t="s">
        <v>654</v>
      </c>
      <c r="H1204" s="3">
        <v>123</v>
      </c>
    </row>
    <row r="1205">
      <c r="A1205" s="0" t="s">
        <v>2260</v>
      </c>
      <c r="B1205" s="0" t="s">
        <v>2259</v>
      </c>
      <c r="C1205" s="5">
        <f>=HYPERLINK("https://nusmods.com/modules/FIN3701B#timetable","Timetable")</f>
      </c>
      <c r="D1205" s="5"/>
      <c r="E1205" s="5">
        <f>=HYPERLINK("https://luminus.nus.edu.sg/modules/15fecd48-4886-45ae-82c0-0ceae8ea53f3","LumiNUS course site")</f>
      </c>
      <c r="F1205" s="0" t="s">
        <v>28</v>
      </c>
      <c r="G1205" s="0" t="s">
        <v>654</v>
      </c>
      <c r="H1205" s="3">
        <v>84</v>
      </c>
    </row>
    <row r="1206">
      <c r="A1206" s="0" t="s">
        <v>2261</v>
      </c>
      <c r="B1206" s="0" t="s">
        <v>2262</v>
      </c>
      <c r="C1206" s="5">
        <f>=HYPERLINK("https://nusmods.com/modules/FIN3702A#timetable","Timetable")</f>
      </c>
      <c r="D1206" s="5"/>
      <c r="E1206" s="5">
        <f>=HYPERLINK("https://luminus.nus.edu.sg/modules/68e1f5c4-4a68-4d48-9451-210b598ffa78","LumiNUS course site")</f>
      </c>
      <c r="F1206" s="0" t="s">
        <v>28</v>
      </c>
      <c r="G1206" s="0" t="s">
        <v>654</v>
      </c>
      <c r="H1206" s="3">
        <v>170</v>
      </c>
    </row>
    <row r="1207">
      <c r="A1207" s="0" t="s">
        <v>2263</v>
      </c>
      <c r="B1207" s="0" t="s">
        <v>2262</v>
      </c>
      <c r="C1207" s="5">
        <f>=HYPERLINK("https://nusmods.com/modules/FIN3702B#timetable","Timetable")</f>
      </c>
      <c r="D1207" s="5"/>
      <c r="E1207" s="5">
        <f>=HYPERLINK("https://luminus.nus.edu.sg/modules/68e1f5c4-4a68-4d48-9451-210b598ffa78","LumiNUS course site")</f>
      </c>
      <c r="F1207" s="0" t="s">
        <v>28</v>
      </c>
      <c r="G1207" s="0" t="s">
        <v>654</v>
      </c>
      <c r="H1207" s="3">
        <v>99</v>
      </c>
    </row>
    <row r="1208">
      <c r="A1208" s="0" t="s">
        <v>2264</v>
      </c>
      <c r="B1208" s="0" t="s">
        <v>2265</v>
      </c>
      <c r="C1208" s="5">
        <f>=HYPERLINK("https://nusmods.com/modules/FIN3703A#timetable","Timetable")</f>
      </c>
      <c r="D1208" s="5"/>
      <c r="E1208" s="5">
        <f>=HYPERLINK("https://luminus.nus.edu.sg/modules/2f7f1233-1018-4979-9a72-74e442b8bc1e","LumiNUS course site")</f>
      </c>
      <c r="F1208" s="0" t="s">
        <v>28</v>
      </c>
      <c r="G1208" s="0" t="s">
        <v>654</v>
      </c>
      <c r="H1208" s="3">
        <v>320</v>
      </c>
    </row>
    <row r="1209">
      <c r="A1209" s="0" t="s">
        <v>2266</v>
      </c>
      <c r="B1209" s="0" t="s">
        <v>2267</v>
      </c>
      <c r="C1209" s="5">
        <f>=HYPERLINK("https://nusmods.com/modules/FIN3711#timetable","Timetable")</f>
      </c>
      <c r="D1209" s="5">
        <f>=HYPERLINK("https://canvas.nus.edu.sg/courses/23613","Canvas course site")</f>
      </c>
      <c r="E1209" s="5"/>
      <c r="F1209" s="0" t="s">
        <v>28</v>
      </c>
      <c r="G1209" s="0" t="s">
        <v>654</v>
      </c>
      <c r="H1209" s="3">
        <v>37</v>
      </c>
    </row>
    <row r="1210">
      <c r="A1210" s="0" t="s">
        <v>2268</v>
      </c>
      <c r="B1210" s="0" t="s">
        <v>2269</v>
      </c>
      <c r="C1210" s="5">
        <f>=HYPERLINK("https://nusmods.com/modules/FIN3713#timetable","Timetable")</f>
      </c>
      <c r="D1210" s="5"/>
      <c r="E1210" s="5">
        <f>=HYPERLINK("https://luminus.nus.edu.sg/modules/2262f9ea-ad65-4231-8afc-a6ef0eb6efea","LumiNUS course site")</f>
      </c>
      <c r="F1210" s="0" t="s">
        <v>28</v>
      </c>
      <c r="G1210" s="0" t="s">
        <v>654</v>
      </c>
      <c r="H1210" s="3">
        <v>37</v>
      </c>
    </row>
    <row r="1211">
      <c r="A1211" s="0" t="s">
        <v>2270</v>
      </c>
      <c r="B1211" s="0" t="s">
        <v>2271</v>
      </c>
      <c r="C1211" s="5">
        <f>=HYPERLINK("https://nusmods.com/modules/FIN3714#timetable","Timetable")</f>
      </c>
      <c r="D1211" s="5"/>
      <c r="E1211" s="5">
        <f>=HYPERLINK("https://luminus.nus.edu.sg/modules/f9381a11-3506-4e87-b3e2-d532be2e8cf8","LumiNUS course site")</f>
      </c>
      <c r="F1211" s="0" t="s">
        <v>28</v>
      </c>
      <c r="G1211" s="0" t="s">
        <v>654</v>
      </c>
      <c r="H1211" s="3">
        <v>33</v>
      </c>
    </row>
    <row r="1212">
      <c r="A1212" s="0" t="s">
        <v>2272</v>
      </c>
      <c r="B1212" s="0" t="s">
        <v>2273</v>
      </c>
      <c r="C1212" s="5">
        <f>=HYPERLINK("https://nusmods.com/modules/FIN3715#timetable","Timetable")</f>
      </c>
      <c r="D1212" s="5"/>
      <c r="E1212" s="5">
        <f>=HYPERLINK("https://luminus.nus.edu.sg/modules/031b70cb-b34d-4576-a04f-550600dc0c29","LumiNUS course site")</f>
      </c>
      <c r="F1212" s="0" t="s">
        <v>28</v>
      </c>
      <c r="G1212" s="0" t="s">
        <v>654</v>
      </c>
      <c r="H1212" s="3">
        <v>58</v>
      </c>
    </row>
    <row r="1213">
      <c r="A1213" s="0" t="s">
        <v>2274</v>
      </c>
      <c r="B1213" s="0" t="s">
        <v>444</v>
      </c>
      <c r="C1213" s="5">
        <f>=HYPERLINK("https://nusmods.com/modules/FIN3716#timetable","Timetable")</f>
      </c>
      <c r="D1213" s="5"/>
      <c r="E1213" s="5">
        <f>=HYPERLINK("https://luminus.nus.edu.sg/modules/1890f2f8-1224-40cf-b180-334ad92359f9","LumiNUS course site")</f>
      </c>
      <c r="F1213" s="0" t="s">
        <v>28</v>
      </c>
      <c r="G1213" s="0" t="s">
        <v>654</v>
      </c>
      <c r="H1213" s="3">
        <v>35</v>
      </c>
    </row>
    <row r="1214">
      <c r="A1214" s="0" t="s">
        <v>2275</v>
      </c>
      <c r="B1214" s="0" t="s">
        <v>460</v>
      </c>
      <c r="C1214" s="5">
        <f>=HYPERLINK("https://nusmods.com/modules/FIN3719A#timetable","Timetable")</f>
      </c>
      <c r="D1214" s="5"/>
      <c r="E1214" s="5">
        <f>=HYPERLINK("https://luminus.nus.edu.sg/modules/570869f1-be4c-47e5-af01-412cc258e4a4","LumiNUS course site")</f>
      </c>
      <c r="F1214" s="0" t="s">
        <v>28</v>
      </c>
      <c r="G1214" s="0" t="s">
        <v>654</v>
      </c>
      <c r="H1214" s="3">
        <v>105</v>
      </c>
    </row>
    <row r="1215">
      <c r="A1215" s="0" t="s">
        <v>2276</v>
      </c>
      <c r="B1215" s="0" t="s">
        <v>2277</v>
      </c>
      <c r="C1215" s="5">
        <f>=HYPERLINK("https://nusmods.com/modules/FIN3720#timetable","Timetable")</f>
      </c>
      <c r="D1215" s="5">
        <f>=HYPERLINK("https://canvas.nus.edu.sg/courses/23637","Canvas course site")</f>
      </c>
      <c r="E1215" s="5"/>
      <c r="F1215" s="0" t="s">
        <v>28</v>
      </c>
      <c r="G1215" s="0" t="s">
        <v>654</v>
      </c>
      <c r="H1215" s="3">
        <v>62</v>
      </c>
    </row>
    <row r="1216">
      <c r="A1216" s="0" t="s">
        <v>2278</v>
      </c>
      <c r="B1216" s="0" t="s">
        <v>2279</v>
      </c>
      <c r="C1216" s="5">
        <f>=HYPERLINK("https://nusmods.com/modules/FIN3721#timetable","Timetable")</f>
      </c>
      <c r="D1216" s="5">
        <f>=HYPERLINK("https://canvas.nus.edu.sg/courses/23641","Canvas course site")</f>
      </c>
      <c r="E1216" s="5"/>
      <c r="F1216" s="0" t="s">
        <v>28</v>
      </c>
      <c r="G1216" s="0" t="s">
        <v>654</v>
      </c>
      <c r="H1216" s="3">
        <v>43</v>
      </c>
    </row>
    <row r="1217">
      <c r="A1217" s="0" t="s">
        <v>2280</v>
      </c>
      <c r="B1217" s="0" t="s">
        <v>2256</v>
      </c>
      <c r="C1217" s="5">
        <f>=HYPERLINK("https://nusmods.com/modules/FIN3751#timetable","Timetable")</f>
      </c>
      <c r="D1217" s="5"/>
      <c r="E1217" s="5"/>
      <c r="F1217" s="0" t="s">
        <v>28</v>
      </c>
      <c r="G1217" s="0" t="s">
        <v>654</v>
      </c>
      <c r="H1217" s="3">
        <v>2</v>
      </c>
    </row>
    <row r="1218">
      <c r="A1218" s="0" t="s">
        <v>2281</v>
      </c>
      <c r="B1218" s="0" t="s">
        <v>2282</v>
      </c>
      <c r="C1218" s="5">
        <f>=HYPERLINK("https://nusmods.com/modules/FIN3761A#timetable","Timetable")</f>
      </c>
      <c r="D1218" s="5"/>
      <c r="E1218" s="5">
        <f>=HYPERLINK("https://luminus.nus.edu.sg/modules/c2cd3a22-30f6-4aff-9250-c1358f6bd230","LumiNUS course site")</f>
      </c>
      <c r="F1218" s="0" t="s">
        <v>28</v>
      </c>
      <c r="G1218" s="0" t="s">
        <v>654</v>
      </c>
      <c r="H1218" s="3">
        <v>39</v>
      </c>
    </row>
    <row r="1219">
      <c r="A1219" s="0" t="s">
        <v>2283</v>
      </c>
      <c r="B1219" s="0" t="s">
        <v>2284</v>
      </c>
      <c r="C1219" s="5">
        <f>=HYPERLINK("https://nusmods.com/modules/FIN4119#timetable","Timetable")</f>
      </c>
      <c r="D1219" s="5"/>
      <c r="E1219" s="5"/>
      <c r="F1219" s="0" t="s">
        <v>28</v>
      </c>
      <c r="G1219" s="0" t="s">
        <v>654</v>
      </c>
      <c r="H1219" s="3">
        <v>0</v>
      </c>
    </row>
    <row r="1220">
      <c r="A1220" s="0" t="s">
        <v>2285</v>
      </c>
      <c r="B1220" s="0" t="s">
        <v>2284</v>
      </c>
      <c r="C1220" s="5">
        <f>=HYPERLINK("https://nusmods.com/modules/FIN4129#timetable","Timetable")</f>
      </c>
      <c r="D1220" s="5"/>
      <c r="E1220" s="5"/>
      <c r="F1220" s="0" t="s">
        <v>28</v>
      </c>
      <c r="G1220" s="0" t="s">
        <v>654</v>
      </c>
      <c r="H1220" s="3">
        <v>0</v>
      </c>
    </row>
    <row r="1221">
      <c r="A1221" s="0" t="s">
        <v>2286</v>
      </c>
      <c r="B1221" s="0" t="s">
        <v>2287</v>
      </c>
      <c r="C1221" s="5">
        <f>=HYPERLINK("https://nusmods.com/modules/FIN4714#timetable","Timetable")</f>
      </c>
      <c r="D1221" s="5">
        <f>=HYPERLINK("https://canvas.nus.edu.sg/courses/26468","Canvas course site")</f>
      </c>
      <c r="E1221" s="5"/>
      <c r="F1221" s="0" t="s">
        <v>28</v>
      </c>
      <c r="G1221" s="0" t="s">
        <v>654</v>
      </c>
      <c r="H1221" s="3">
        <v>35</v>
      </c>
    </row>
    <row r="1222">
      <c r="A1222" s="0" t="s">
        <v>2288</v>
      </c>
      <c r="B1222" s="0" t="s">
        <v>2289</v>
      </c>
      <c r="C1222" s="5">
        <f>=HYPERLINK("https://nusmods.com/modules/FIN4715#timetable","Timetable")</f>
      </c>
      <c r="D1222" s="5">
        <f>=HYPERLINK("https://canvas.nus.edu.sg/courses/23695","Canvas course site")</f>
      </c>
      <c r="E1222" s="5"/>
      <c r="F1222" s="0" t="s">
        <v>28</v>
      </c>
      <c r="G1222" s="0" t="s">
        <v>654</v>
      </c>
      <c r="H1222" s="3">
        <v>113</v>
      </c>
    </row>
    <row r="1223">
      <c r="A1223" s="0" t="s">
        <v>2290</v>
      </c>
      <c r="B1223" s="0" t="s">
        <v>345</v>
      </c>
      <c r="C1223" s="5">
        <f>=HYPERLINK("https://nusmods.com/modules/FIN4717#timetable","Timetable")</f>
      </c>
      <c r="D1223" s="5">
        <f>=HYPERLINK("https://canvas.nus.edu.sg/courses/23699","Canvas course site")</f>
      </c>
      <c r="E1223" s="5"/>
      <c r="F1223" s="0" t="s">
        <v>28</v>
      </c>
      <c r="G1223" s="0" t="s">
        <v>654</v>
      </c>
      <c r="H1223" s="3">
        <v>25</v>
      </c>
    </row>
    <row r="1224">
      <c r="A1224" s="0" t="s">
        <v>2291</v>
      </c>
      <c r="B1224" s="0" t="s">
        <v>2292</v>
      </c>
      <c r="C1224" s="5">
        <f>=HYPERLINK("https://nusmods.com/modules/FIN4718#timetable","Timetable")</f>
      </c>
      <c r="D1224" s="5"/>
      <c r="E1224" s="5">
        <f>=HYPERLINK("https://luminus.nus.edu.sg/modules/1ee75d2c-f38e-48a4-9520-9eb82e8eea2b","LumiNUS course site")</f>
      </c>
      <c r="F1224" s="0" t="s">
        <v>28</v>
      </c>
      <c r="G1224" s="0" t="s">
        <v>654</v>
      </c>
      <c r="H1224" s="3">
        <v>53</v>
      </c>
    </row>
    <row r="1225">
      <c r="A1225" s="0" t="s">
        <v>2293</v>
      </c>
      <c r="B1225" s="0" t="s">
        <v>2294</v>
      </c>
      <c r="C1225" s="5">
        <f>=HYPERLINK("https://nusmods.com/modules/FIN4720#timetable","Timetable")</f>
      </c>
      <c r="D1225" s="5"/>
      <c r="E1225" s="5">
        <f>=HYPERLINK("https://luminus.nus.edu.sg/modules/3ef076fe-7da9-413d-ab4f-4c9f96c08ae2","LumiNUS course site")</f>
      </c>
      <c r="F1225" s="0" t="s">
        <v>28</v>
      </c>
      <c r="G1225" s="0" t="s">
        <v>654</v>
      </c>
      <c r="H1225" s="3">
        <v>39</v>
      </c>
    </row>
    <row r="1226">
      <c r="A1226" s="0" t="s">
        <v>2295</v>
      </c>
      <c r="B1226" s="0" t="s">
        <v>2296</v>
      </c>
      <c r="C1226" s="5">
        <f>=HYPERLINK("https://nusmods.com/modules/FIN4721#timetable","Timetable")</f>
      </c>
      <c r="D1226" s="5"/>
      <c r="E1226" s="5">
        <f>=HYPERLINK("https://luminus.nus.edu.sg/modules/9ca0b232-369e-4259-899a-bff15ef02617","LumiNUS course site")</f>
      </c>
      <c r="F1226" s="0" t="s">
        <v>28</v>
      </c>
      <c r="G1226" s="0" t="s">
        <v>654</v>
      </c>
      <c r="H1226" s="3">
        <v>105</v>
      </c>
    </row>
    <row r="1227">
      <c r="A1227" s="0" t="s">
        <v>2297</v>
      </c>
      <c r="B1227" s="0" t="s">
        <v>2284</v>
      </c>
      <c r="C1227" s="5">
        <f>=HYPERLINK("https://nusmods.com/modules/FIN4751#timetable","Timetable")</f>
      </c>
      <c r="D1227" s="5"/>
      <c r="E1227" s="5"/>
      <c r="F1227" s="0" t="s">
        <v>28</v>
      </c>
      <c r="G1227" s="0" t="s">
        <v>654</v>
      </c>
      <c r="H1227" s="3">
        <v>0</v>
      </c>
    </row>
    <row r="1228">
      <c r="A1228" s="0" t="s">
        <v>2298</v>
      </c>
      <c r="B1228" s="0" t="s">
        <v>2299</v>
      </c>
      <c r="C1228" s="5">
        <f>=HYPERLINK("https://nusmods.com/modules/FIN4752#timetable","Timetable")</f>
      </c>
      <c r="D1228" s="5"/>
      <c r="E1228" s="5"/>
      <c r="F1228" s="0" t="s">
        <v>28</v>
      </c>
      <c r="G1228" s="0" t="s">
        <v>654</v>
      </c>
      <c r="H1228" s="3">
        <v>0</v>
      </c>
    </row>
    <row r="1229">
      <c r="A1229" s="0" t="s">
        <v>2300</v>
      </c>
      <c r="B1229" s="0" t="s">
        <v>2301</v>
      </c>
      <c r="C1229" s="5">
        <f>=HYPERLINK("https://nusmods.com/modules/FIN4761C#timetable","Timetable")</f>
      </c>
      <c r="D1229" s="5">
        <f>=HYPERLINK("https://canvas.nus.edu.sg/courses/26469","Canvas course site")</f>
      </c>
      <c r="E1229" s="5"/>
      <c r="F1229" s="0" t="s">
        <v>28</v>
      </c>
      <c r="G1229" s="0" t="s">
        <v>654</v>
      </c>
      <c r="H1229" s="3">
        <v>19</v>
      </c>
    </row>
    <row r="1230">
      <c r="A1230" s="0" t="s">
        <v>2302</v>
      </c>
      <c r="B1230" s="0" t="s">
        <v>2303</v>
      </c>
      <c r="C1230" s="5">
        <f>=HYPERLINK("https://nusmods.com/modules/FIN4761D#timetable","Timetable")</f>
      </c>
      <c r="D1230" s="5"/>
      <c r="E1230" s="5">
        <f>=HYPERLINK("https://luminus.nus.edu.sg/modules/3810d2bb-e4b2-44de-a8a1-f7498eb9c686","LumiNUS course site")</f>
      </c>
      <c r="F1230" s="0" t="s">
        <v>28</v>
      </c>
      <c r="G1230" s="0" t="s">
        <v>654</v>
      </c>
      <c r="H1230" s="3">
        <v>47</v>
      </c>
    </row>
    <row r="1231">
      <c r="A1231" s="0" t="s">
        <v>2304</v>
      </c>
      <c r="B1231" s="0" t="s">
        <v>2305</v>
      </c>
      <c r="C1231" s="5">
        <f>=HYPERLINK("https://nusmods.com/modules/FIN6002#timetable","Timetable")</f>
      </c>
      <c r="D1231" s="5"/>
      <c r="E1231" s="5">
        <f>=HYPERLINK("https://luminus.nus.edu.sg/modules/06545b39-8b53-47fc-b523-14cd8c98c513","LumiNUS course site")</f>
      </c>
      <c r="F1231" s="0" t="s">
        <v>28</v>
      </c>
      <c r="G1231" s="0" t="s">
        <v>654</v>
      </c>
      <c r="H1231" s="3">
        <v>23</v>
      </c>
    </row>
    <row r="1232">
      <c r="A1232" s="0" t="s">
        <v>2306</v>
      </c>
      <c r="B1232" s="0" t="s">
        <v>2307</v>
      </c>
      <c r="C1232" s="5">
        <f>=HYPERLINK("https://nusmods.com/modules/FSC2101#timetable","Timetable")</f>
      </c>
      <c r="D1232" s="5">
        <f>=HYPERLINK("https://canvas.nus.edu.sg/courses/23739","Canvas course site")</f>
      </c>
      <c r="E1232" s="5"/>
      <c r="F1232" s="0" t="s">
        <v>266</v>
      </c>
      <c r="G1232" s="0" t="s">
        <v>267</v>
      </c>
      <c r="H1232" s="3">
        <v>391</v>
      </c>
    </row>
    <row r="1233">
      <c r="A1233" s="0" t="s">
        <v>2308</v>
      </c>
      <c r="B1233" s="0" t="s">
        <v>2309</v>
      </c>
      <c r="C1233" s="5">
        <f>=HYPERLINK("https://nusmods.com/modules/FSC4201#timetable","Timetable")</f>
      </c>
      <c r="D1233" s="5">
        <f>=HYPERLINK("https://canvas.nus.edu.sg/courses/23745","Canvas course site")</f>
      </c>
      <c r="E1233" s="5"/>
      <c r="F1233" s="0" t="s">
        <v>266</v>
      </c>
      <c r="G1233" s="0" t="s">
        <v>267</v>
      </c>
      <c r="H1233" s="3">
        <v>27</v>
      </c>
    </row>
    <row r="1234">
      <c r="A1234" s="0" t="s">
        <v>2310</v>
      </c>
      <c r="B1234" s="0" t="s">
        <v>2311</v>
      </c>
      <c r="C1234" s="5">
        <f>=HYPERLINK("https://nusmods.com/modules/FSC5101#timetable","Timetable")</f>
      </c>
      <c r="D1234" s="5">
        <f>=HYPERLINK("https://canvas.nus.edu.sg/courses/23749","Canvas course site")</f>
      </c>
      <c r="E1234" s="5"/>
      <c r="F1234" s="0" t="s">
        <v>266</v>
      </c>
      <c r="G1234" s="0" t="s">
        <v>267</v>
      </c>
      <c r="H1234" s="3">
        <v>29</v>
      </c>
    </row>
    <row r="1235">
      <c r="A1235" s="0" t="s">
        <v>2312</v>
      </c>
      <c r="B1235" s="0" t="s">
        <v>2313</v>
      </c>
      <c r="C1235" s="5">
        <f>=HYPERLINK("https://nusmods.com/modules/FSC5199#timetable","Timetable")</f>
      </c>
      <c r="D1235" s="5">
        <f>=HYPERLINK("https://canvas.nus.edu.sg/courses/23752","Canvas course site")</f>
      </c>
      <c r="E1235" s="5"/>
      <c r="F1235" s="0" t="s">
        <v>266</v>
      </c>
      <c r="G1235" s="0" t="s">
        <v>267</v>
      </c>
      <c r="H1235" s="3">
        <v>24</v>
      </c>
    </row>
    <row r="1236">
      <c r="A1236" s="0" t="s">
        <v>2314</v>
      </c>
      <c r="B1236" s="0" t="s">
        <v>2315</v>
      </c>
      <c r="C1236" s="5">
        <f>=HYPERLINK("https://nusmods.com/modules/FSC5201#timetable","Timetable")</f>
      </c>
      <c r="D1236" s="5">
        <f>=HYPERLINK("https://canvas.nus.edu.sg/courses/23756","Canvas course site")</f>
      </c>
      <c r="E1236" s="5"/>
      <c r="F1236" s="0" t="s">
        <v>266</v>
      </c>
      <c r="G1236" s="0" t="s">
        <v>267</v>
      </c>
      <c r="H1236" s="3">
        <v>31</v>
      </c>
    </row>
    <row r="1237">
      <c r="A1237" s="0" t="s">
        <v>2316</v>
      </c>
      <c r="B1237" s="0" t="s">
        <v>2317</v>
      </c>
      <c r="C1237" s="5">
        <f>=HYPERLINK("https://nusmods.com/modules/FSC5203#timetable","Timetable")</f>
      </c>
      <c r="D1237" s="5">
        <f>=HYPERLINK("https://canvas.nus.edu.sg/courses/23760","Canvas course site")</f>
      </c>
      <c r="E1237" s="5"/>
      <c r="F1237" s="0" t="s">
        <v>266</v>
      </c>
      <c r="G1237" s="0" t="s">
        <v>267</v>
      </c>
      <c r="H1237" s="3">
        <v>28</v>
      </c>
    </row>
    <row r="1238">
      <c r="A1238" s="0" t="s">
        <v>2318</v>
      </c>
      <c r="B1238" s="0" t="s">
        <v>2319</v>
      </c>
      <c r="C1238" s="5">
        <f>=HYPERLINK("https://nusmods.com/modules/FSP4003#timetable","Timetable")</f>
      </c>
      <c r="D1238" s="5"/>
      <c r="E1238" s="5"/>
      <c r="F1238" s="0" t="s">
        <v>28</v>
      </c>
      <c r="G1238" s="0" t="s">
        <v>233</v>
      </c>
      <c r="H1238" s="3">
        <v>497</v>
      </c>
    </row>
    <row r="1239">
      <c r="A1239" s="0" t="s">
        <v>2320</v>
      </c>
      <c r="B1239" s="0" t="s">
        <v>2321</v>
      </c>
      <c r="C1239" s="5">
        <f>=HYPERLINK("https://nusmods.com/modules/FST2102B#timetable","Timetable")</f>
      </c>
      <c r="D1239" s="5">
        <f>=HYPERLINK("https://canvas.nus.edu.sg/courses/23768","Canvas course site")</f>
      </c>
      <c r="E1239" s="5"/>
      <c r="F1239" s="0" t="s">
        <v>266</v>
      </c>
      <c r="G1239" s="0" t="s">
        <v>2322</v>
      </c>
      <c r="H1239" s="3">
        <v>63</v>
      </c>
    </row>
    <row r="1240">
      <c r="A1240" s="0" t="s">
        <v>2323</v>
      </c>
      <c r="B1240" s="0" t="s">
        <v>2324</v>
      </c>
      <c r="C1240" s="5">
        <f>=HYPERLINK("https://nusmods.com/modules/FST2288#timetable","Timetable")</f>
      </c>
      <c r="D1240" s="5"/>
      <c r="E1240" s="5">
        <f>=HYPERLINK("https://luminus.nus.edu.sg/modules/6df89e42-46a2-4ae3-96d8-f2fe5169e074","LumiNUS course site")</f>
      </c>
      <c r="F1240" s="0" t="s">
        <v>266</v>
      </c>
      <c r="G1240" s="0" t="s">
        <v>2322</v>
      </c>
      <c r="H1240" s="3">
        <v>2</v>
      </c>
    </row>
    <row r="1241">
      <c r="A1241" s="0" t="s">
        <v>2325</v>
      </c>
      <c r="B1241" s="0" t="s">
        <v>2326</v>
      </c>
      <c r="C1241" s="5">
        <f>=HYPERLINK("https://nusmods.com/modules/FST2289#timetable","Timetable")</f>
      </c>
      <c r="D1241" s="5"/>
      <c r="E1241" s="5">
        <f>=HYPERLINK("https://luminus.nus.edu.sg/modules/6df89e42-46a2-4ae3-96d8-f2fe5169e074","LumiNUS course site")</f>
      </c>
      <c r="F1241" s="0" t="s">
        <v>266</v>
      </c>
      <c r="G1241" s="0" t="s">
        <v>2322</v>
      </c>
      <c r="H1241" s="3">
        <v>0</v>
      </c>
    </row>
    <row r="1242">
      <c r="A1242" s="0" t="s">
        <v>2327</v>
      </c>
      <c r="B1242" s="0" t="s">
        <v>2328</v>
      </c>
      <c r="C1242" s="5">
        <f>=HYPERLINK("https://nusmods.com/modules/FST3101#timetable","Timetable")</f>
      </c>
      <c r="D1242" s="5"/>
      <c r="E1242" s="5">
        <f>=HYPERLINK("https://luminus.nus.edu.sg/modules/85ee77b1-f51d-4093-931c-2c893116cae4","LumiNUS course site")</f>
      </c>
      <c r="F1242" s="0" t="s">
        <v>266</v>
      </c>
      <c r="G1242" s="0" t="s">
        <v>2322</v>
      </c>
      <c r="H1242" s="3">
        <v>90</v>
      </c>
    </row>
    <row r="1243">
      <c r="A1243" s="0" t="s">
        <v>2329</v>
      </c>
      <c r="B1243" s="0" t="s">
        <v>2330</v>
      </c>
      <c r="C1243" s="5">
        <f>=HYPERLINK("https://nusmods.com/modules/FST3103#timetable","Timetable")</f>
      </c>
      <c r="D1243" s="5"/>
      <c r="E1243" s="5">
        <f>=HYPERLINK("https://luminus.nus.edu.sg/modules/c6ac64fd-b23e-47b7-96ae-f0c49914f89a","LumiNUS course site")</f>
      </c>
      <c r="F1243" s="0" t="s">
        <v>266</v>
      </c>
      <c r="G1243" s="0" t="s">
        <v>2322</v>
      </c>
      <c r="H1243" s="3">
        <v>31</v>
      </c>
    </row>
    <row r="1244">
      <c r="A1244" s="0" t="s">
        <v>2331</v>
      </c>
      <c r="B1244" s="0" t="s">
        <v>2332</v>
      </c>
      <c r="C1244" s="5">
        <f>=HYPERLINK("https://nusmods.com/modules/FST3105#timetable","Timetable")</f>
      </c>
      <c r="D1244" s="5">
        <f>=HYPERLINK("https://canvas.nus.edu.sg/courses/23786","Canvas course site")</f>
      </c>
      <c r="E1244" s="5"/>
      <c r="F1244" s="0" t="s">
        <v>266</v>
      </c>
      <c r="G1244" s="0" t="s">
        <v>2322</v>
      </c>
      <c r="H1244" s="3">
        <v>33</v>
      </c>
    </row>
    <row r="1245">
      <c r="A1245" s="0" t="s">
        <v>2333</v>
      </c>
      <c r="B1245" s="0" t="s">
        <v>2334</v>
      </c>
      <c r="C1245" s="5">
        <f>=HYPERLINK("https://nusmods.com/modules/FST3106#timetable","Timetable")</f>
      </c>
      <c r="D1245" s="5"/>
      <c r="E1245" s="5">
        <f>=HYPERLINK("https://luminus.nus.edu.sg/modules/21128c0f-4050-480b-8bdf-32fa84972de7","LumiNUS course site")</f>
      </c>
      <c r="F1245" s="0" t="s">
        <v>266</v>
      </c>
      <c r="G1245" s="0" t="s">
        <v>2322</v>
      </c>
      <c r="H1245" s="3">
        <v>34</v>
      </c>
    </row>
    <row r="1246">
      <c r="A1246" s="0" t="s">
        <v>2335</v>
      </c>
      <c r="B1246" s="0" t="s">
        <v>2336</v>
      </c>
      <c r="C1246" s="5">
        <f>=HYPERLINK("https://nusmods.com/modules/FST3202#timetable","Timetable")</f>
      </c>
      <c r="D1246" s="5">
        <f>=HYPERLINK("https://canvas.nus.edu.sg/courses/23798","Canvas course site")</f>
      </c>
      <c r="E1246" s="5"/>
      <c r="F1246" s="0" t="s">
        <v>266</v>
      </c>
      <c r="G1246" s="0" t="s">
        <v>2322</v>
      </c>
      <c r="H1246" s="3">
        <v>35</v>
      </c>
    </row>
    <row r="1247">
      <c r="A1247" s="0" t="s">
        <v>2337</v>
      </c>
      <c r="B1247" s="0" t="s">
        <v>2338</v>
      </c>
      <c r="C1247" s="5">
        <f>=HYPERLINK("https://nusmods.com/modules/FST3288#timetable","Timetable")</f>
      </c>
      <c r="D1247" s="5"/>
      <c r="E1247" s="5">
        <f>=HYPERLINK("https://luminus.nus.edu.sg/modules/6df89e42-46a2-4ae3-96d8-f2fe5169e074","LumiNUS course site")</f>
      </c>
      <c r="F1247" s="0" t="s">
        <v>266</v>
      </c>
      <c r="G1247" s="0" t="s">
        <v>2322</v>
      </c>
      <c r="H1247" s="3">
        <v>0</v>
      </c>
    </row>
    <row r="1248">
      <c r="A1248" s="0" t="s">
        <v>2339</v>
      </c>
      <c r="B1248" s="0" t="s">
        <v>2340</v>
      </c>
      <c r="C1248" s="5">
        <f>=HYPERLINK("https://nusmods.com/modules/FST3289#timetable","Timetable")</f>
      </c>
      <c r="D1248" s="5"/>
      <c r="E1248" s="5">
        <f>=HYPERLINK("https://luminus.nus.edu.sg/modules/6df89e42-46a2-4ae3-96d8-f2fe5169e074","LumiNUS course site")</f>
      </c>
      <c r="F1248" s="0" t="s">
        <v>266</v>
      </c>
      <c r="G1248" s="0" t="s">
        <v>2322</v>
      </c>
      <c r="H1248" s="3">
        <v>0</v>
      </c>
    </row>
    <row r="1249">
      <c r="A1249" s="0" t="s">
        <v>2341</v>
      </c>
      <c r="B1249" s="0" t="s">
        <v>2342</v>
      </c>
      <c r="C1249" s="5">
        <f>=HYPERLINK("https://nusmods.com/modules/FST4199#timetable","Timetable")</f>
      </c>
      <c r="D1249" s="5">
        <f>=HYPERLINK("https://canvas.nus.edu.sg/courses/23810","Canvas course site")</f>
      </c>
      <c r="E1249" s="5"/>
      <c r="F1249" s="0" t="s">
        <v>266</v>
      </c>
      <c r="G1249" s="0" t="s">
        <v>2322</v>
      </c>
      <c r="H1249" s="3">
        <v>14</v>
      </c>
    </row>
    <row r="1250">
      <c r="A1250" s="0" t="s">
        <v>2343</v>
      </c>
      <c r="B1250" s="0" t="s">
        <v>2344</v>
      </c>
      <c r="C1250" s="5">
        <f>=HYPERLINK("https://nusmods.com/modules/FST4202#timetable","Timetable")</f>
      </c>
      <c r="D1250" s="5"/>
      <c r="E1250" s="5">
        <f>=HYPERLINK("https://luminus.nus.edu.sg/modules/82fa3678-8fed-4895-9283-dcc52de43eaf","LumiNUS course site")</f>
      </c>
      <c r="F1250" s="0" t="s">
        <v>266</v>
      </c>
      <c r="G1250" s="0" t="s">
        <v>2322</v>
      </c>
      <c r="H1250" s="3">
        <v>10</v>
      </c>
    </row>
    <row r="1251">
      <c r="A1251" s="0" t="s">
        <v>2345</v>
      </c>
      <c r="B1251" s="0" t="s">
        <v>2346</v>
      </c>
      <c r="C1251" s="5">
        <f>=HYPERLINK("https://nusmods.com/modules/FST4299#timetable","Timetable")</f>
      </c>
      <c r="D1251" s="5"/>
      <c r="E1251" s="5"/>
      <c r="F1251" s="0" t="s">
        <v>266</v>
      </c>
      <c r="G1251" s="0" t="s">
        <v>2322</v>
      </c>
      <c r="H1251" s="3">
        <v>45</v>
      </c>
    </row>
    <row r="1252">
      <c r="A1252" s="0" t="s">
        <v>2347</v>
      </c>
      <c r="B1252" s="0" t="s">
        <v>2348</v>
      </c>
      <c r="C1252" s="5">
        <f>=HYPERLINK("https://nusmods.com/modules/FST5198#timetable","Timetable")</f>
      </c>
      <c r="D1252" s="5"/>
      <c r="E1252" s="5">
        <f>=HYPERLINK("https://luminus.nus.edu.sg/modules/dd5ec66c-1d24-4a73-962c-3f3d8308d552","LumiNUS course site")</f>
      </c>
      <c r="F1252" s="0" t="s">
        <v>266</v>
      </c>
      <c r="G1252" s="0" t="s">
        <v>2322</v>
      </c>
      <c r="H1252" s="3">
        <v>80</v>
      </c>
    </row>
    <row r="1253">
      <c r="A1253" s="0" t="s">
        <v>2349</v>
      </c>
      <c r="B1253" s="0" t="s">
        <v>2350</v>
      </c>
      <c r="C1253" s="5">
        <f>=HYPERLINK("https://nusmods.com/modules/FST5199#timetable","Timetable")</f>
      </c>
      <c r="D1253" s="5"/>
      <c r="E1253" s="5">
        <f>=HYPERLINK("https://luminus.nus.edu.sg/modules/d277b3c4-4193-4435-9edb-c7bc29000cf1","LumiNUS course site")</f>
      </c>
      <c r="F1253" s="0" t="s">
        <v>266</v>
      </c>
      <c r="G1253" s="0" t="s">
        <v>2322</v>
      </c>
      <c r="H1253" s="3">
        <v>4</v>
      </c>
    </row>
    <row r="1254">
      <c r="A1254" s="0" t="s">
        <v>2351</v>
      </c>
      <c r="B1254" s="0" t="s">
        <v>2352</v>
      </c>
      <c r="C1254" s="5">
        <f>=HYPERLINK("https://nusmods.com/modules/FST5199A#timetable","Timetable")</f>
      </c>
      <c r="D1254" s="5"/>
      <c r="E1254" s="5">
        <f>=HYPERLINK("https://luminus.nus.edu.sg/modules/b6343e76-1df1-48a6-99f8-a7b71f41528c","LumiNUS course site")</f>
      </c>
      <c r="F1254" s="0" t="s">
        <v>266</v>
      </c>
      <c r="G1254" s="0" t="s">
        <v>2322</v>
      </c>
      <c r="H1254" s="3">
        <v>59</v>
      </c>
    </row>
    <row r="1255">
      <c r="A1255" s="0" t="s">
        <v>2353</v>
      </c>
      <c r="B1255" s="0" t="s">
        <v>2354</v>
      </c>
      <c r="C1255" s="5">
        <f>=HYPERLINK("https://nusmods.com/modules/FST5199B#timetable","Timetable")</f>
      </c>
      <c r="D1255" s="5"/>
      <c r="E1255" s="5">
        <f>=HYPERLINK("https://luminus.nus.edu.sg/modules/ea0f3566-a816-42ce-a53d-39f4007fb1ba","LumiNUS course site")</f>
      </c>
      <c r="F1255" s="0" t="s">
        <v>266</v>
      </c>
      <c r="G1255" s="0" t="s">
        <v>2322</v>
      </c>
      <c r="H1255" s="3">
        <v>40</v>
      </c>
    </row>
    <row r="1256">
      <c r="A1256" s="0" t="s">
        <v>2355</v>
      </c>
      <c r="B1256" s="0" t="s">
        <v>2356</v>
      </c>
      <c r="C1256" s="5">
        <f>=HYPERLINK("https://nusmods.com/modules/FST5205A#timetable","Timetable")</f>
      </c>
      <c r="D1256" s="5"/>
      <c r="E1256" s="5">
        <f>=HYPERLINK("https://luminus.nus.edu.sg/modules/a5999692-cdf0-4b55-9299-a361f9f36a81","LumiNUS course site")</f>
      </c>
      <c r="F1256" s="0" t="s">
        <v>266</v>
      </c>
      <c r="G1256" s="0" t="s">
        <v>2322</v>
      </c>
      <c r="H1256" s="3">
        <v>60</v>
      </c>
    </row>
    <row r="1257">
      <c r="A1257" s="0" t="s">
        <v>2357</v>
      </c>
      <c r="B1257" s="0" t="s">
        <v>2358</v>
      </c>
      <c r="C1257" s="5">
        <f>=HYPERLINK("https://nusmods.com/modules/FST5225#timetable","Timetable")</f>
      </c>
      <c r="D1257" s="5"/>
      <c r="E1257" s="5">
        <f>=HYPERLINK("https://luminus.nus.edu.sg/modules/c3aecf67-02e1-4ee0-920e-0575b4bb025d","LumiNUS course site")</f>
      </c>
      <c r="F1257" s="0" t="s">
        <v>266</v>
      </c>
      <c r="G1257" s="0" t="s">
        <v>2322</v>
      </c>
      <c r="H1257" s="3">
        <v>69</v>
      </c>
    </row>
    <row r="1258">
      <c r="A1258" s="0" t="s">
        <v>2359</v>
      </c>
      <c r="B1258" s="0" t="s">
        <v>2360</v>
      </c>
      <c r="C1258" s="5">
        <f>=HYPERLINK("https://nusmods.com/modules/FST5226#timetable","Timetable")</f>
      </c>
      <c r="D1258" s="5"/>
      <c r="E1258" s="5">
        <f>=HYPERLINK("https://luminus.nus.edu.sg/modules/7a9da0e9-a5dd-48d4-8252-4dd24c12b531","LumiNUS course site")</f>
      </c>
      <c r="F1258" s="0" t="s">
        <v>266</v>
      </c>
      <c r="G1258" s="0" t="s">
        <v>2322</v>
      </c>
      <c r="H1258" s="3">
        <v>94</v>
      </c>
    </row>
    <row r="1259">
      <c r="A1259" s="0" t="s">
        <v>2361</v>
      </c>
      <c r="B1259" s="0" t="s">
        <v>2362</v>
      </c>
      <c r="C1259" s="5">
        <f>=HYPERLINK("https://nusmods.com/modules/FST5227#timetable","Timetable")</f>
      </c>
      <c r="D1259" s="5"/>
      <c r="E1259" s="5">
        <f>=HYPERLINK("https://luminus.nus.edu.sg/modules/e3dd525d-c034-4c5a-8a48-b7483a71a073","LumiNUS course site")</f>
      </c>
      <c r="F1259" s="0" t="s">
        <v>266</v>
      </c>
      <c r="G1259" s="0" t="s">
        <v>2322</v>
      </c>
      <c r="H1259" s="3">
        <v>72</v>
      </c>
    </row>
    <row r="1260">
      <c r="A1260" s="0" t="s">
        <v>2363</v>
      </c>
      <c r="B1260" s="0" t="s">
        <v>2364</v>
      </c>
      <c r="C1260" s="5">
        <f>=HYPERLINK("https://nusmods.com/modules/FST5301A#timetable","Timetable")</f>
      </c>
      <c r="D1260" s="5"/>
      <c r="E1260" s="5">
        <f>=HYPERLINK("https://luminus.nus.edu.sg/modules/62b4d536-70a8-4f6a-9872-59a9268d6a9e","LumiNUS course site")</f>
      </c>
      <c r="F1260" s="0" t="s">
        <v>266</v>
      </c>
      <c r="G1260" s="0" t="s">
        <v>2322</v>
      </c>
      <c r="H1260" s="3">
        <v>44</v>
      </c>
    </row>
    <row r="1261">
      <c r="A1261" s="0" t="s">
        <v>2365</v>
      </c>
      <c r="B1261" s="0" t="s">
        <v>2366</v>
      </c>
      <c r="C1261" s="5">
        <f>=HYPERLINK("https://nusmods.com/modules/FST5302#timetable","Timetable")</f>
      </c>
      <c r="D1261" s="5"/>
      <c r="E1261" s="5">
        <f>=HYPERLINK("https://luminus.nus.edu.sg/modules/d968cc11-f715-45c7-afc8-a8048cdd8261","LumiNUS course site")</f>
      </c>
      <c r="F1261" s="0" t="s">
        <v>266</v>
      </c>
      <c r="G1261" s="0" t="s">
        <v>2322</v>
      </c>
      <c r="H1261" s="3">
        <v>65</v>
      </c>
    </row>
    <row r="1262">
      <c r="A1262" s="0" t="s">
        <v>2367</v>
      </c>
      <c r="B1262" s="0" t="s">
        <v>2368</v>
      </c>
      <c r="C1262" s="5">
        <f>=HYPERLINK("https://nusmods.com/modules/FT5001#timetable","Timetable")</f>
      </c>
      <c r="D1262" s="5">
        <f>=HYPERLINK("https://canvas.nus.edu.sg/courses/23862","Canvas course site")</f>
      </c>
      <c r="E1262" s="5"/>
      <c r="F1262" s="0" t="s">
        <v>724</v>
      </c>
      <c r="G1262" s="0" t="s">
        <v>725</v>
      </c>
      <c r="H1262" s="3">
        <v>42</v>
      </c>
    </row>
    <row r="1263">
      <c r="A1263" s="0" t="s">
        <v>2369</v>
      </c>
      <c r="B1263" s="0" t="s">
        <v>2370</v>
      </c>
      <c r="C1263" s="5">
        <f>=HYPERLINK("https://nusmods.com/modules/FT5002#timetable","Timetable")</f>
      </c>
      <c r="D1263" s="5"/>
      <c r="E1263" s="5">
        <f>=HYPERLINK("https://luminus.nus.edu.sg/modules/ab94bb1a-d2c6-41e6-b615-6f557940dc3e","LumiNUS course site")</f>
      </c>
      <c r="F1263" s="0" t="s">
        <v>724</v>
      </c>
      <c r="G1263" s="0" t="s">
        <v>725</v>
      </c>
      <c r="H1263" s="3">
        <v>42</v>
      </c>
    </row>
    <row r="1264">
      <c r="A1264" s="0" t="s">
        <v>2371</v>
      </c>
      <c r="B1264" s="0" t="s">
        <v>2372</v>
      </c>
      <c r="C1264" s="5">
        <f>=HYPERLINK("https://nusmods.com/modules/FT5007#timetable","Timetable")</f>
      </c>
      <c r="D1264" s="5"/>
      <c r="E1264" s="5"/>
      <c r="F1264" s="0" t="s">
        <v>926</v>
      </c>
      <c r="G1264" s="0" t="s">
        <v>2373</v>
      </c>
      <c r="H1264" s="3">
        <v>47</v>
      </c>
    </row>
    <row r="1265">
      <c r="A1265" s="0" t="s">
        <v>2374</v>
      </c>
      <c r="B1265" s="0" t="s">
        <v>2375</v>
      </c>
      <c r="C1265" s="5">
        <f>=HYPERLINK("https://nusmods.com/modules/FT5008#timetable","Timetable")</f>
      </c>
      <c r="D1265" s="5"/>
      <c r="E1265" s="5">
        <f>=HYPERLINK("https://luminus.nus.edu.sg/modules/441a3f4f-d210-4ccb-8d5d-3080266e1ad3","LumiNUS course site")</f>
      </c>
      <c r="F1265" s="0" t="s">
        <v>724</v>
      </c>
      <c r="G1265" s="0" t="s">
        <v>1233</v>
      </c>
      <c r="H1265" s="3">
        <v>28</v>
      </c>
    </row>
    <row r="1266">
      <c r="A1266" s="0" t="s">
        <v>2376</v>
      </c>
      <c r="B1266" s="0" t="s">
        <v>2377</v>
      </c>
      <c r="C1266" s="5">
        <f>=HYPERLINK("https://nusmods.com/modules/FT5009#timetable","Timetable")</f>
      </c>
      <c r="D1266" s="5"/>
      <c r="E1266" s="5"/>
      <c r="F1266" s="0" t="s">
        <v>724</v>
      </c>
      <c r="G1266" s="0" t="s">
        <v>1233</v>
      </c>
      <c r="H1266" s="3">
        <v>28</v>
      </c>
    </row>
    <row r="1267">
      <c r="A1267" s="0" t="s">
        <v>2378</v>
      </c>
      <c r="B1267" s="0" t="s">
        <v>2379</v>
      </c>
      <c r="C1267" s="5">
        <f>=HYPERLINK("https://nusmods.com/modules/FT5101#timetable","Timetable")</f>
      </c>
      <c r="D1267" s="5"/>
      <c r="E1267" s="5"/>
      <c r="F1267" s="0" t="s">
        <v>926</v>
      </c>
      <c r="G1267" s="0" t="s">
        <v>2373</v>
      </c>
      <c r="H1267" s="3">
        <v>6</v>
      </c>
    </row>
    <row r="1268">
      <c r="A1268" s="0" t="s">
        <v>2380</v>
      </c>
      <c r="B1268" s="0" t="s">
        <v>2381</v>
      </c>
      <c r="C1268" s="5">
        <f>=HYPERLINK("https://nusmods.com/modules/GE1101E#timetable","Timetable")</f>
      </c>
      <c r="D1268" s="5"/>
      <c r="E1268" s="5">
        <f>=HYPERLINK("https://luminus.nus.edu.sg/modules/87136fa1-f412-4dc5-a19c-0e87dee67e98","LumiNUS course site")</f>
      </c>
      <c r="F1268" s="0" t="s">
        <v>73</v>
      </c>
      <c r="G1268" s="0" t="s">
        <v>2382</v>
      </c>
      <c r="H1268" s="3">
        <v>91</v>
      </c>
    </row>
    <row r="1269">
      <c r="A1269" s="0" t="s">
        <v>2383</v>
      </c>
      <c r="B1269" s="0" t="s">
        <v>2384</v>
      </c>
      <c r="C1269" s="5">
        <f>=HYPERLINK("https://nusmods.com/modules/GE2215#timetable","Timetable")</f>
      </c>
      <c r="D1269" s="5"/>
      <c r="E1269" s="5">
        <f>=HYPERLINK("https://luminus.nus.edu.sg/modules/0bbf2342-c9b0-4238-8f03-fefdd9e32e56","LumiNUS course site")</f>
      </c>
      <c r="F1269" s="0" t="s">
        <v>73</v>
      </c>
      <c r="G1269" s="0" t="s">
        <v>2382</v>
      </c>
      <c r="H1269" s="3">
        <v>150</v>
      </c>
    </row>
    <row r="1270">
      <c r="A1270" s="0" t="s">
        <v>2385</v>
      </c>
      <c r="B1270" s="0" t="s">
        <v>2386</v>
      </c>
      <c r="C1270" s="5">
        <f>=HYPERLINK("https://nusmods.com/modules/GE2231#timetable","Timetable")</f>
      </c>
      <c r="D1270" s="5"/>
      <c r="E1270" s="5">
        <f>=HYPERLINK("https://luminus.nus.edu.sg/modules/0aed0c57-b960-4f2b-8b60-4555702e3af6","LumiNUS course site")</f>
      </c>
      <c r="F1270" s="0" t="s">
        <v>73</v>
      </c>
      <c r="G1270" s="0" t="s">
        <v>2382</v>
      </c>
      <c r="H1270" s="3">
        <v>74</v>
      </c>
    </row>
    <row r="1271">
      <c r="A1271" s="0" t="s">
        <v>2387</v>
      </c>
      <c r="B1271" s="0" t="s">
        <v>2388</v>
      </c>
      <c r="C1271" s="5">
        <f>=HYPERLINK("https://nusmods.com/modules/GE3204#timetable","Timetable")</f>
      </c>
      <c r="D1271" s="5">
        <f>=HYPERLINK("https://canvas.nus.edu.sg/courses/22450","Canvas course site")</f>
      </c>
      <c r="E1271" s="5">
        <f>=HYPERLINK("https://luminus.nus.edu.sg/modules/3263b2e0-660e-4574-9004-d0ee4ee77eda","LumiNUS course site")</f>
      </c>
      <c r="F1271" s="0" t="s">
        <v>73</v>
      </c>
      <c r="G1271" s="0" t="s">
        <v>2382</v>
      </c>
      <c r="H1271" s="3">
        <v>68</v>
      </c>
    </row>
    <row r="1272">
      <c r="A1272" s="0" t="s">
        <v>2389</v>
      </c>
      <c r="B1272" s="0" t="s">
        <v>2390</v>
      </c>
      <c r="C1272" s="5">
        <f>=HYPERLINK("https://nusmods.com/modules/GE3235#timetable","Timetable")</f>
      </c>
      <c r="D1272" s="5"/>
      <c r="E1272" s="5">
        <f>=HYPERLINK("https://luminus.nus.edu.sg/modules/fac6de0d-c1fd-4203-953a-54a52858e49b","LumiNUS course site")</f>
      </c>
      <c r="F1272" s="0" t="s">
        <v>73</v>
      </c>
      <c r="G1272" s="0" t="s">
        <v>2382</v>
      </c>
      <c r="H1272" s="3">
        <v>18</v>
      </c>
    </row>
    <row r="1273">
      <c r="A1273" s="0" t="s">
        <v>2391</v>
      </c>
      <c r="B1273" s="0" t="s">
        <v>2392</v>
      </c>
      <c r="C1273" s="5">
        <f>=HYPERLINK("https://nusmods.com/modules/GE3236#timetable","Timetable")</f>
      </c>
      <c r="D1273" s="5"/>
      <c r="E1273" s="5">
        <f>=HYPERLINK("https://luminus.nus.edu.sg/modules/7db079bc-8984-4c35-beda-cdd10535603b","LumiNUS course site")</f>
      </c>
      <c r="F1273" s="0" t="s">
        <v>73</v>
      </c>
      <c r="G1273" s="0" t="s">
        <v>2382</v>
      </c>
      <c r="H1273" s="3">
        <v>35</v>
      </c>
    </row>
    <row r="1274">
      <c r="A1274" s="0" t="s">
        <v>2393</v>
      </c>
      <c r="B1274" s="0" t="s">
        <v>2394</v>
      </c>
      <c r="C1274" s="5">
        <f>=HYPERLINK("https://nusmods.com/modules/GE3238#timetable","Timetable")</f>
      </c>
      <c r="D1274" s="5"/>
      <c r="E1274" s="5">
        <f>=HYPERLINK("https://luminus.nus.edu.sg/modules/05c9aa22-417b-448b-a9e4-1a7735b73ee8","LumiNUS course site")</f>
      </c>
      <c r="F1274" s="0" t="s">
        <v>73</v>
      </c>
      <c r="G1274" s="0" t="s">
        <v>2382</v>
      </c>
      <c r="H1274" s="3">
        <v>18</v>
      </c>
    </row>
    <row r="1275">
      <c r="A1275" s="0" t="s">
        <v>2395</v>
      </c>
      <c r="B1275" s="0" t="s">
        <v>2396</v>
      </c>
      <c r="C1275" s="5">
        <f>=HYPERLINK("https://nusmods.com/modules/GE3241#timetable","Timetable")</f>
      </c>
      <c r="D1275" s="5"/>
      <c r="E1275" s="5">
        <f>=HYPERLINK("https://luminus.nus.edu.sg/modules/2b6e8ac0-28ea-461d-abde-74d404788e5d","LumiNUS course site")</f>
      </c>
      <c r="F1275" s="0" t="s">
        <v>73</v>
      </c>
      <c r="G1275" s="0" t="s">
        <v>2382</v>
      </c>
      <c r="H1275" s="3">
        <v>25</v>
      </c>
    </row>
    <row r="1276">
      <c r="A1276" s="0" t="s">
        <v>2397</v>
      </c>
      <c r="B1276" s="0" t="s">
        <v>2398</v>
      </c>
      <c r="C1276" s="5">
        <f>=HYPERLINK("https://nusmods.com/modules/GE3250#timetable","Timetable")</f>
      </c>
      <c r="D1276" s="5"/>
      <c r="E1276" s="5">
        <f>=HYPERLINK("https://luminus.nus.edu.sg/modules/e6cb96ff-6815-475a-b193-b5a4f6488621","LumiNUS course site")</f>
      </c>
      <c r="F1276" s="0" t="s">
        <v>73</v>
      </c>
      <c r="G1276" s="0" t="s">
        <v>2382</v>
      </c>
      <c r="H1276" s="3">
        <v>32</v>
      </c>
    </row>
    <row r="1277">
      <c r="A1277" s="0" t="s">
        <v>2399</v>
      </c>
      <c r="B1277" s="0" t="s">
        <v>2400</v>
      </c>
      <c r="C1277" s="5">
        <f>=HYPERLINK("https://nusmods.com/modules/GE3253#timetable","Timetable")</f>
      </c>
      <c r="D1277" s="5"/>
      <c r="E1277" s="5">
        <f>=HYPERLINK("https://luminus.nus.edu.sg/modules/f14841dd-ea40-4e3a-a9c3-d06ef1608c09","LumiNUS course site")</f>
      </c>
      <c r="F1277" s="0" t="s">
        <v>73</v>
      </c>
      <c r="G1277" s="0" t="s">
        <v>2382</v>
      </c>
      <c r="H1277" s="3">
        <v>39</v>
      </c>
    </row>
    <row r="1278">
      <c r="A1278" s="0" t="s">
        <v>2401</v>
      </c>
      <c r="B1278" s="0" t="s">
        <v>2402</v>
      </c>
      <c r="C1278" s="5">
        <f>=HYPERLINK("https://nusmods.com/modules/GE3254#timetable","Timetable")</f>
      </c>
      <c r="D1278" s="5"/>
      <c r="E1278" s="5">
        <f>=HYPERLINK("https://luminus.nus.edu.sg/modules/a13e8c38-c19d-4114-8a93-0be50073d135","LumiNUS course site")</f>
      </c>
      <c r="F1278" s="0" t="s">
        <v>73</v>
      </c>
      <c r="G1278" s="0" t="s">
        <v>2382</v>
      </c>
      <c r="H1278" s="3">
        <v>57</v>
      </c>
    </row>
    <row r="1279">
      <c r="A1279" s="0" t="s">
        <v>2403</v>
      </c>
      <c r="B1279" s="0" t="s">
        <v>2404</v>
      </c>
      <c r="C1279" s="5">
        <f>=HYPERLINK("https://nusmods.com/modules/GE3255#timetable","Timetable")</f>
      </c>
      <c r="D1279" s="5">
        <f>=HYPERLINK("https://canvas.nus.edu.sg/courses/23895","Canvas course site")</f>
      </c>
      <c r="E1279" s="5">
        <f>=HYPERLINK("https://luminus.nus.edu.sg/modules/c20f1cb7-89cd-419e-a2b5-42a133d3e49c","LumiNUS course site")</f>
      </c>
      <c r="F1279" s="0" t="s">
        <v>73</v>
      </c>
      <c r="G1279" s="0" t="s">
        <v>2382</v>
      </c>
      <c r="H1279" s="3">
        <v>49</v>
      </c>
    </row>
    <row r="1280">
      <c r="A1280" s="0" t="s">
        <v>2405</v>
      </c>
      <c r="B1280" s="0" t="s">
        <v>2406</v>
      </c>
      <c r="C1280" s="5">
        <f>=HYPERLINK("https://nusmods.com/modules/GE3550A#timetable","Timetable")</f>
      </c>
      <c r="D1280" s="5"/>
      <c r="E1280" s="5"/>
      <c r="F1280" s="0" t="s">
        <v>73</v>
      </c>
      <c r="G1280" s="0" t="s">
        <v>2382</v>
      </c>
      <c r="H1280" s="3">
        <v>1</v>
      </c>
    </row>
    <row r="1281">
      <c r="A1281" s="0" t="s">
        <v>2407</v>
      </c>
      <c r="B1281" s="0" t="s">
        <v>2408</v>
      </c>
      <c r="C1281" s="5">
        <f>=HYPERLINK("https://nusmods.com/modules/GE3550B#timetable","Timetable")</f>
      </c>
      <c r="D1281" s="5"/>
      <c r="E1281" s="5"/>
      <c r="F1281" s="0" t="s">
        <v>73</v>
      </c>
      <c r="G1281" s="0" t="s">
        <v>2382</v>
      </c>
      <c r="H1281" s="3">
        <v>0</v>
      </c>
    </row>
    <row r="1282">
      <c r="A1282" s="0" t="s">
        <v>2409</v>
      </c>
      <c r="B1282" s="0" t="s">
        <v>1773</v>
      </c>
      <c r="C1282" s="5">
        <f>=HYPERLINK("https://nusmods.com/modules/GE3551#timetable","Timetable")</f>
      </c>
      <c r="D1282" s="5"/>
      <c r="E1282" s="5"/>
      <c r="F1282" s="0" t="s">
        <v>73</v>
      </c>
      <c r="G1282" s="0" t="s">
        <v>2382</v>
      </c>
      <c r="H1282" s="3">
        <v>2</v>
      </c>
    </row>
    <row r="1283">
      <c r="A1283" s="0" t="s">
        <v>2410</v>
      </c>
      <c r="B1283" s="0" t="s">
        <v>2411</v>
      </c>
      <c r="C1283" s="5">
        <f>=HYPERLINK("https://nusmods.com/modules/GE4202#timetable","Timetable")</f>
      </c>
      <c r="D1283" s="5">
        <f>=HYPERLINK("https://canvas.nus.edu.sg/courses/23913","Canvas course site")</f>
      </c>
      <c r="E1283" s="5"/>
      <c r="F1283" s="0" t="s">
        <v>73</v>
      </c>
      <c r="G1283" s="0" t="s">
        <v>2382</v>
      </c>
      <c r="H1283" s="3">
        <v>10</v>
      </c>
    </row>
    <row r="1284">
      <c r="A1284" s="0" t="s">
        <v>2412</v>
      </c>
      <c r="B1284" s="0" t="s">
        <v>2413</v>
      </c>
      <c r="C1284" s="5">
        <f>=HYPERLINK("https://nusmods.com/modules/GE4207#timetable","Timetable")</f>
      </c>
      <c r="D1284" s="5"/>
      <c r="E1284" s="5">
        <f>=HYPERLINK("https://luminus.nus.edu.sg/modules/7bee98fb-bdbf-4c38-97a4-4e4c03a5bdd0","LumiNUS course site")</f>
      </c>
      <c r="F1284" s="0" t="s">
        <v>73</v>
      </c>
      <c r="G1284" s="0" t="s">
        <v>2382</v>
      </c>
      <c r="H1284" s="3">
        <v>40</v>
      </c>
    </row>
    <row r="1285">
      <c r="A1285" s="0" t="s">
        <v>2414</v>
      </c>
      <c r="B1285" s="0" t="s">
        <v>2415</v>
      </c>
      <c r="C1285" s="5">
        <f>=HYPERLINK("https://nusmods.com/modules/GE4211#timetable","Timetable")</f>
      </c>
      <c r="D1285" s="5"/>
      <c r="E1285" s="5">
        <f>=HYPERLINK("https://luminus.nus.edu.sg/modules/5d16c36d-542a-475d-8add-3301d9fe4584","LumiNUS course site")</f>
      </c>
      <c r="F1285" s="0" t="s">
        <v>73</v>
      </c>
      <c r="G1285" s="0" t="s">
        <v>2382</v>
      </c>
      <c r="H1285" s="3">
        <v>23</v>
      </c>
    </row>
    <row r="1286">
      <c r="A1286" s="0" t="s">
        <v>2416</v>
      </c>
      <c r="B1286" s="0" t="s">
        <v>2417</v>
      </c>
      <c r="C1286" s="5">
        <f>=HYPERLINK("https://nusmods.com/modules/GE4213#timetable","Timetable")</f>
      </c>
      <c r="D1286" s="5"/>
      <c r="E1286" s="5">
        <f>=HYPERLINK("https://luminus.nus.edu.sg/modules/c07e4e02-6a02-4332-b871-145e78c545bf","LumiNUS course site")</f>
      </c>
      <c r="F1286" s="0" t="s">
        <v>73</v>
      </c>
      <c r="G1286" s="0" t="s">
        <v>2382</v>
      </c>
      <c r="H1286" s="3">
        <v>34</v>
      </c>
    </row>
    <row r="1287">
      <c r="A1287" s="0" t="s">
        <v>2418</v>
      </c>
      <c r="B1287" s="0" t="s">
        <v>2419</v>
      </c>
      <c r="C1287" s="5">
        <f>=HYPERLINK("https://nusmods.com/modules/GE4214#timetable","Timetable")</f>
      </c>
      <c r="D1287" s="5"/>
      <c r="E1287" s="5">
        <f>=HYPERLINK("https://luminus.nus.edu.sg/modules/7aabdf05-d046-4ef1-82af-cbcddab9cb36","LumiNUS course site")</f>
      </c>
      <c r="F1287" s="0" t="s">
        <v>73</v>
      </c>
      <c r="G1287" s="0" t="s">
        <v>2382</v>
      </c>
      <c r="H1287" s="3">
        <v>27</v>
      </c>
    </row>
    <row r="1288">
      <c r="A1288" s="0" t="s">
        <v>2420</v>
      </c>
      <c r="B1288" s="0" t="s">
        <v>2421</v>
      </c>
      <c r="C1288" s="5">
        <f>=HYPERLINK("https://nusmods.com/modules/GE4217#timetable","Timetable")</f>
      </c>
      <c r="D1288" s="5"/>
      <c r="E1288" s="5">
        <f>=HYPERLINK("https://luminus.nus.edu.sg/modules/b444e68b-9e71-4b43-9c01-cc8300f2cd48","LumiNUS course site")</f>
      </c>
      <c r="F1288" s="0" t="s">
        <v>73</v>
      </c>
      <c r="G1288" s="0" t="s">
        <v>2382</v>
      </c>
      <c r="H1288" s="3">
        <v>17</v>
      </c>
    </row>
    <row r="1289">
      <c r="A1289" s="0" t="s">
        <v>2422</v>
      </c>
      <c r="B1289" s="0" t="s">
        <v>2423</v>
      </c>
      <c r="C1289" s="5">
        <f>=HYPERLINK("https://nusmods.com/modules/GE4218#timetable","Timetable")</f>
      </c>
      <c r="D1289" s="5"/>
      <c r="E1289" s="5">
        <f>=HYPERLINK("https://luminus.nus.edu.sg/modules/1d618d65-b680-43d3-8a18-2900f9061345","LumiNUS course site")</f>
      </c>
      <c r="F1289" s="0" t="s">
        <v>73</v>
      </c>
      <c r="G1289" s="0" t="s">
        <v>2382</v>
      </c>
      <c r="H1289" s="3">
        <v>45</v>
      </c>
    </row>
    <row r="1290">
      <c r="A1290" s="0" t="s">
        <v>2424</v>
      </c>
      <c r="B1290" s="0" t="s">
        <v>2425</v>
      </c>
      <c r="C1290" s="5">
        <f>=HYPERLINK("https://nusmods.com/modules/GE4219#timetable","Timetable")</f>
      </c>
      <c r="D1290" s="5"/>
      <c r="E1290" s="5">
        <f>=HYPERLINK("https://luminus.nus.edu.sg/modules/95411f96-fa1b-441f-ab44-464ed3716681","LumiNUS course site")</f>
      </c>
      <c r="F1290" s="0" t="s">
        <v>73</v>
      </c>
      <c r="G1290" s="0" t="s">
        <v>2382</v>
      </c>
      <c r="H1290" s="3">
        <v>32</v>
      </c>
    </row>
    <row r="1291">
      <c r="A1291" s="0" t="s">
        <v>2426</v>
      </c>
      <c r="B1291" s="0" t="s">
        <v>2427</v>
      </c>
      <c r="C1291" s="5">
        <f>=HYPERLINK("https://nusmods.com/modules/GE4222#timetable","Timetable")</f>
      </c>
      <c r="D1291" s="5"/>
      <c r="E1291" s="5">
        <f>=HYPERLINK("https://luminus.nus.edu.sg/modules/a7edc04a-3759-49eb-8ba3-cf357f13c253","LumiNUS course site")</f>
      </c>
      <c r="F1291" s="0" t="s">
        <v>73</v>
      </c>
      <c r="G1291" s="0" t="s">
        <v>2382</v>
      </c>
      <c r="H1291" s="3">
        <v>18</v>
      </c>
    </row>
    <row r="1292">
      <c r="A1292" s="0" t="s">
        <v>2428</v>
      </c>
      <c r="B1292" s="0" t="s">
        <v>2429</v>
      </c>
      <c r="C1292" s="5">
        <f>=HYPERLINK("https://nusmods.com/modules/GE4225#timetable","Timetable")</f>
      </c>
      <c r="D1292" s="5"/>
      <c r="E1292" s="5">
        <f>=HYPERLINK("https://luminus.nus.edu.sg/modules/874d237b-7a5b-4c4c-8f68-fb5b80b10272","LumiNUS course site")</f>
      </c>
      <c r="F1292" s="0" t="s">
        <v>73</v>
      </c>
      <c r="G1292" s="0" t="s">
        <v>2382</v>
      </c>
      <c r="H1292" s="3">
        <v>39</v>
      </c>
    </row>
    <row r="1293">
      <c r="A1293" s="0" t="s">
        <v>2430</v>
      </c>
      <c r="B1293" s="0" t="s">
        <v>2431</v>
      </c>
      <c r="C1293" s="5">
        <f>=HYPERLINK("https://nusmods.com/modules/GE4234#timetable","Timetable")</f>
      </c>
      <c r="D1293" s="5"/>
      <c r="E1293" s="5">
        <f>=HYPERLINK("https://luminus.nus.edu.sg/modules/5809d4d5-74d8-4720-b01b-ab4fb6dd6c9f","LumiNUS course site")</f>
      </c>
      <c r="F1293" s="0" t="s">
        <v>73</v>
      </c>
      <c r="G1293" s="0" t="s">
        <v>2382</v>
      </c>
      <c r="H1293" s="3">
        <v>40</v>
      </c>
    </row>
    <row r="1294">
      <c r="A1294" s="0" t="s">
        <v>2432</v>
      </c>
      <c r="B1294" s="0" t="s">
        <v>980</v>
      </c>
      <c r="C1294" s="5">
        <f>=HYPERLINK("https://nusmods.com/modules/GE4401#timetable","Timetable")</f>
      </c>
      <c r="D1294" s="5"/>
      <c r="E1294" s="5"/>
      <c r="F1294" s="0" t="s">
        <v>73</v>
      </c>
      <c r="G1294" s="0" t="s">
        <v>2382</v>
      </c>
      <c r="H1294" s="3">
        <v>13</v>
      </c>
    </row>
    <row r="1295">
      <c r="A1295" s="0" t="s">
        <v>2433</v>
      </c>
      <c r="B1295" s="0" t="s">
        <v>602</v>
      </c>
      <c r="C1295" s="5">
        <f>=HYPERLINK("https://nusmods.com/modules/GE4660#timetable","Timetable")</f>
      </c>
      <c r="D1295" s="5"/>
      <c r="E1295" s="5"/>
      <c r="F1295" s="0" t="s">
        <v>73</v>
      </c>
      <c r="G1295" s="0" t="s">
        <v>2382</v>
      </c>
      <c r="H1295" s="3">
        <v>5</v>
      </c>
    </row>
    <row r="1296">
      <c r="A1296" s="0" t="s">
        <v>2434</v>
      </c>
      <c r="B1296" s="0" t="s">
        <v>2435</v>
      </c>
      <c r="C1296" s="5">
        <f>=HYPERLINK("https://nusmods.com/modules/GE5216#timetable","Timetable")</f>
      </c>
      <c r="D1296" s="5"/>
      <c r="E1296" s="5">
        <f>=HYPERLINK("https://luminus.nus.edu.sg/modules/61bb902e-1b79-4f9b-b630-33e514b61fa0","LumiNUS course site")</f>
      </c>
      <c r="F1296" s="0" t="s">
        <v>73</v>
      </c>
      <c r="G1296" s="0" t="s">
        <v>2382</v>
      </c>
      <c r="H1296" s="3">
        <v>6</v>
      </c>
    </row>
    <row r="1297">
      <c r="A1297" s="0" t="s">
        <v>2436</v>
      </c>
      <c r="B1297" s="0" t="s">
        <v>2437</v>
      </c>
      <c r="C1297" s="5">
        <f>=HYPERLINK("https://nusmods.com/modules/GE5217#timetable","Timetable")</f>
      </c>
      <c r="D1297" s="5"/>
      <c r="E1297" s="5">
        <f>=HYPERLINK("https://luminus.nus.edu.sg/modules/d3f4e55c-8701-4cca-a505-a8ef76611200","LumiNUS course site")</f>
      </c>
      <c r="F1297" s="0" t="s">
        <v>73</v>
      </c>
      <c r="G1297" s="0" t="s">
        <v>2382</v>
      </c>
      <c r="H1297" s="3">
        <v>9</v>
      </c>
    </row>
    <row r="1298">
      <c r="A1298" s="0" t="s">
        <v>2438</v>
      </c>
      <c r="B1298" s="0" t="s">
        <v>2439</v>
      </c>
      <c r="C1298" s="5">
        <f>=HYPERLINK("https://nusmods.com/modules/GE5223#timetable","Timetable")</f>
      </c>
      <c r="D1298" s="5"/>
      <c r="E1298" s="5">
        <f>=HYPERLINK("https://luminus.nus.edu.sg/modules/c2baf9dd-1f26-4188-8212-a1bf49050cb2","LumiNUS course site")</f>
      </c>
      <c r="F1298" s="0" t="s">
        <v>73</v>
      </c>
      <c r="G1298" s="0" t="s">
        <v>2382</v>
      </c>
      <c r="H1298" s="3">
        <v>28</v>
      </c>
    </row>
    <row r="1299">
      <c r="A1299" s="0" t="s">
        <v>2440</v>
      </c>
      <c r="B1299" s="0" t="s">
        <v>2441</v>
      </c>
      <c r="C1299" s="5">
        <f>=HYPERLINK("https://nusmods.com/modules/GE5226#timetable","Timetable")</f>
      </c>
      <c r="D1299" s="5"/>
      <c r="E1299" s="5">
        <f>=HYPERLINK("https://luminus.nus.edu.sg/modules/72ad8f28-dcd0-42ee-8ab1-f7cbaa63e525","LumiNUS course site")</f>
      </c>
      <c r="F1299" s="0" t="s">
        <v>73</v>
      </c>
      <c r="G1299" s="0" t="s">
        <v>2382</v>
      </c>
      <c r="H1299" s="3">
        <v>31</v>
      </c>
    </row>
    <row r="1300">
      <c r="A1300" s="0" t="s">
        <v>2442</v>
      </c>
      <c r="B1300" s="0" t="s">
        <v>2443</v>
      </c>
      <c r="C1300" s="5">
        <f>=HYPERLINK("https://nusmods.com/modules/GE5228#timetable","Timetable")</f>
      </c>
      <c r="D1300" s="5"/>
      <c r="E1300" s="5">
        <f>=HYPERLINK("https://luminus.nus.edu.sg/modules/091f471d-aeef-4cb4-bcad-130f95baeb2e","LumiNUS course site")</f>
      </c>
      <c r="F1300" s="0" t="s">
        <v>73</v>
      </c>
      <c r="G1300" s="0" t="s">
        <v>2382</v>
      </c>
      <c r="H1300" s="3">
        <v>28</v>
      </c>
    </row>
    <row r="1301">
      <c r="A1301" s="0" t="s">
        <v>2444</v>
      </c>
      <c r="B1301" s="0" t="s">
        <v>989</v>
      </c>
      <c r="C1301" s="5">
        <f>=HYPERLINK("https://nusmods.com/modules/GE5660#timetable","Timetable")</f>
      </c>
      <c r="D1301" s="5"/>
      <c r="E1301" s="5"/>
      <c r="F1301" s="0" t="s">
        <v>73</v>
      </c>
      <c r="G1301" s="0" t="s">
        <v>2382</v>
      </c>
      <c r="H1301" s="3">
        <v>5</v>
      </c>
    </row>
    <row r="1302">
      <c r="A1302" s="0" t="s">
        <v>2445</v>
      </c>
      <c r="B1302" s="0" t="s">
        <v>2446</v>
      </c>
      <c r="C1302" s="5">
        <f>=HYPERLINK("https://nusmods.com/modules/GE6222#timetable","Timetable")</f>
      </c>
      <c r="D1302" s="5"/>
      <c r="E1302" s="5">
        <f>=HYPERLINK("https://luminus.nus.edu.sg/modules/026b0485-2ce7-4f4b-8c7b-c23738e93a6c","LumiNUS course site")</f>
      </c>
      <c r="F1302" s="0" t="s">
        <v>73</v>
      </c>
      <c r="G1302" s="0" t="s">
        <v>2382</v>
      </c>
      <c r="H1302" s="3">
        <v>9</v>
      </c>
    </row>
    <row r="1303">
      <c r="A1303" s="0" t="s">
        <v>2447</v>
      </c>
      <c r="B1303" s="0" t="s">
        <v>989</v>
      </c>
      <c r="C1303" s="5">
        <f>=HYPERLINK("https://nusmods.com/modules/GE6660#timetable","Timetable")</f>
      </c>
      <c r="D1303" s="5"/>
      <c r="E1303" s="5"/>
      <c r="F1303" s="0" t="s">
        <v>73</v>
      </c>
      <c r="G1303" s="0" t="s">
        <v>2382</v>
      </c>
      <c r="H1303" s="3">
        <v>1</v>
      </c>
    </row>
    <row r="1304">
      <c r="A1304" s="0" t="s">
        <v>2448</v>
      </c>
      <c r="B1304" s="0" t="s">
        <v>2449</v>
      </c>
      <c r="C1304" s="5">
        <f>=HYPERLINK("https://nusmods.com/modules/GEA1000#timetable","Timetable")</f>
      </c>
      <c r="D1304" s="5">
        <f>=HYPERLINK("https://canvas.nus.edu.sg/courses/23996","Canvas course site")</f>
      </c>
      <c r="E1304" s="5"/>
      <c r="F1304" s="0" t="s">
        <v>926</v>
      </c>
      <c r="G1304" s="0" t="s">
        <v>927</v>
      </c>
      <c r="H1304" s="3">
        <v>3029</v>
      </c>
    </row>
    <row r="1305">
      <c r="A1305" s="0" t="s">
        <v>2450</v>
      </c>
      <c r="B1305" s="0" t="s">
        <v>2449</v>
      </c>
      <c r="C1305" s="5">
        <f>=HYPERLINK("https://nusmods.com/modules/GEA1000N#timetable","Timetable")</f>
      </c>
      <c r="D1305" s="5">
        <f>=HYPERLINK("https://canvas.nus.edu.sg/courses/23996","Canvas course site")</f>
      </c>
      <c r="E1305" s="5"/>
      <c r="F1305" s="0" t="s">
        <v>2451</v>
      </c>
      <c r="G1305" s="0" t="s">
        <v>2452</v>
      </c>
      <c r="H1305" s="3">
        <v>172</v>
      </c>
    </row>
    <row r="1306">
      <c r="A1306" s="0" t="s">
        <v>2453</v>
      </c>
      <c r="B1306" s="0" t="s">
        <v>2454</v>
      </c>
      <c r="C1306" s="5">
        <f>=HYPERLINK("https://nusmods.com/modules/GEC1005#timetable","Timetable")</f>
      </c>
      <c r="D1306" s="5"/>
      <c r="E1306" s="5">
        <f>=HYPERLINK("https://luminus.nus.edu.sg/modules/e4926875-559d-4558-b438-ad32196a0a17","LumiNUS course site")</f>
      </c>
      <c r="F1306" s="0" t="s">
        <v>73</v>
      </c>
      <c r="G1306" s="0" t="s">
        <v>2455</v>
      </c>
      <c r="H1306" s="3">
        <v>78</v>
      </c>
    </row>
    <row r="1307">
      <c r="A1307" s="0" t="s">
        <v>2456</v>
      </c>
      <c r="B1307" s="0" t="s">
        <v>2457</v>
      </c>
      <c r="C1307" s="5">
        <f>=HYPERLINK("https://nusmods.com/modules/GEC1006#timetable","Timetable")</f>
      </c>
      <c r="D1307" s="5"/>
      <c r="E1307" s="5">
        <f>=HYPERLINK("https://luminus.nus.edu.sg/modules/bfa18115-aeb3-4461-9ff1-f66f9f5eba43","LumiNUS course site")</f>
      </c>
      <c r="F1307" s="0" t="s">
        <v>73</v>
      </c>
      <c r="G1307" s="0" t="s">
        <v>2455</v>
      </c>
      <c r="H1307" s="3">
        <v>144</v>
      </c>
    </row>
    <row r="1308">
      <c r="A1308" s="0" t="s">
        <v>2458</v>
      </c>
      <c r="B1308" s="0" t="s">
        <v>2459</v>
      </c>
      <c r="C1308" s="5">
        <f>=HYPERLINK("https://nusmods.com/modules/GEC1015#timetable","Timetable")</f>
      </c>
      <c r="D1308" s="5"/>
      <c r="E1308" s="5">
        <f>=HYPERLINK("https://luminus.nus.edu.sg/modules/d65ed9c8-0f7c-4199-bb75-237d87f6ca57","LumiNUS course site")</f>
      </c>
      <c r="F1308" s="0" t="s">
        <v>2460</v>
      </c>
      <c r="G1308" s="0" t="s">
        <v>2461</v>
      </c>
      <c r="H1308" s="3">
        <v>406</v>
      </c>
    </row>
    <row r="1309">
      <c r="A1309" s="0" t="s">
        <v>2462</v>
      </c>
      <c r="B1309" s="0" t="s">
        <v>2463</v>
      </c>
      <c r="C1309" s="5">
        <f>=HYPERLINK("https://nusmods.com/modules/GEC1017#timetable","Timetable")</f>
      </c>
      <c r="D1309" s="5"/>
      <c r="E1309" s="5">
        <f>=HYPERLINK("https://luminus.nus.edu.sg/modules/95f682b8-7694-44b0-9e45-edcde4e255a4","LumiNUS course site")</f>
      </c>
      <c r="F1309" s="0" t="s">
        <v>73</v>
      </c>
      <c r="G1309" s="0" t="s">
        <v>2042</v>
      </c>
      <c r="H1309" s="3">
        <v>70</v>
      </c>
    </row>
    <row r="1310">
      <c r="A1310" s="0" t="s">
        <v>2464</v>
      </c>
      <c r="B1310" s="0" t="s">
        <v>2465</v>
      </c>
      <c r="C1310" s="5">
        <f>=HYPERLINK("https://nusmods.com/modules/GEC1018#timetable","Timetable")</f>
      </c>
      <c r="D1310" s="5"/>
      <c r="E1310" s="5">
        <f>=HYPERLINK("https://luminus.nus.edu.sg/modules/9014bafd-59e3-4be0-a01b-5ce8575c4b6a","LumiNUS course site")</f>
      </c>
      <c r="F1310" s="0" t="s">
        <v>73</v>
      </c>
      <c r="G1310" s="0" t="s">
        <v>2042</v>
      </c>
      <c r="H1310" s="3">
        <v>19</v>
      </c>
    </row>
    <row r="1311">
      <c r="A1311" s="0" t="s">
        <v>2466</v>
      </c>
      <c r="B1311" s="0" t="s">
        <v>2467</v>
      </c>
      <c r="C1311" s="5">
        <f>=HYPERLINK("https://nusmods.com/modules/GEC1020#timetable","Timetable")</f>
      </c>
      <c r="D1311" s="5"/>
      <c r="E1311" s="5">
        <f>=HYPERLINK("https://luminus.nus.edu.sg/modules/13de4997-fb56-47d9-ab83-d65fe34f3bd3","LumiNUS course site")</f>
      </c>
      <c r="F1311" s="0" t="s">
        <v>73</v>
      </c>
      <c r="G1311" s="0" t="s">
        <v>94</v>
      </c>
      <c r="H1311" s="3">
        <v>38</v>
      </c>
    </row>
    <row r="1312">
      <c r="A1312" s="0" t="s">
        <v>2468</v>
      </c>
      <c r="B1312" s="0" t="s">
        <v>2469</v>
      </c>
      <c r="C1312" s="5">
        <f>=HYPERLINK("https://nusmods.com/modules/GEC1023#timetable","Timetable")</f>
      </c>
      <c r="D1312" s="5"/>
      <c r="E1312" s="5">
        <f>=HYPERLINK("https://luminus.nus.edu.sg/modules/ab517933-fedf-4f7c-861b-a377a6b34ef2","LumiNUS course site")</f>
      </c>
      <c r="F1312" s="0" t="s">
        <v>2470</v>
      </c>
      <c r="G1312" s="0" t="s">
        <v>2471</v>
      </c>
      <c r="H1312" s="3">
        <v>40</v>
      </c>
    </row>
    <row r="1313">
      <c r="A1313" s="0" t="s">
        <v>2472</v>
      </c>
      <c r="B1313" s="0" t="s">
        <v>2473</v>
      </c>
      <c r="C1313" s="5">
        <f>=HYPERLINK("https://nusmods.com/modules/GEC1024#timetable","Timetable")</f>
      </c>
      <c r="D1313" s="5"/>
      <c r="E1313" s="5">
        <f>=HYPERLINK("https://luminus.nus.edu.sg/modules/daa5e5b5-dda1-4e3a-a05a-5fc3e42f9b9d","LumiNUS course site")</f>
      </c>
      <c r="F1313" s="0" t="s">
        <v>73</v>
      </c>
      <c r="G1313" s="0" t="s">
        <v>94</v>
      </c>
      <c r="H1313" s="3">
        <v>70</v>
      </c>
    </row>
    <row r="1314">
      <c r="A1314" s="0" t="s">
        <v>2474</v>
      </c>
      <c r="B1314" s="0" t="s">
        <v>2475</v>
      </c>
      <c r="C1314" s="5">
        <f>=HYPERLINK("https://nusmods.com/modules/GEC1028#timetable","Timetable")</f>
      </c>
      <c r="D1314" s="5"/>
      <c r="E1314" s="5">
        <f>=HYPERLINK("https://luminus.nus.edu.sg/modules/b3edfec5-6000-4ae3-9620-0beebae752b9","LumiNUS course site")</f>
      </c>
      <c r="F1314" s="0" t="s">
        <v>73</v>
      </c>
      <c r="G1314" s="0" t="s">
        <v>1735</v>
      </c>
      <c r="H1314" s="3">
        <v>92</v>
      </c>
    </row>
    <row r="1315">
      <c r="A1315" s="0" t="s">
        <v>2476</v>
      </c>
      <c r="B1315" s="0" t="s">
        <v>2477</v>
      </c>
      <c r="C1315" s="5">
        <f>=HYPERLINK("https://nusmods.com/modules/GEC1029#timetable","Timetable")</f>
      </c>
      <c r="D1315" s="5"/>
      <c r="E1315" s="5">
        <f>=HYPERLINK("https://luminus.nus.edu.sg/modules/941740ef-5e87-44a9-8a06-e0750a3930c5","LumiNUS course site")</f>
      </c>
      <c r="F1315" s="0" t="s">
        <v>73</v>
      </c>
      <c r="G1315" s="0" t="s">
        <v>2382</v>
      </c>
      <c r="H1315" s="3">
        <v>63</v>
      </c>
    </row>
    <row r="1316">
      <c r="A1316" s="0" t="s">
        <v>2478</v>
      </c>
      <c r="B1316" s="0" t="s">
        <v>2479</v>
      </c>
      <c r="C1316" s="5">
        <f>=HYPERLINK("https://nusmods.com/modules/GEC1030#timetable","Timetable")</f>
      </c>
      <c r="D1316" s="5"/>
      <c r="E1316" s="5">
        <f>=HYPERLINK("https://luminus.nus.edu.sg/modules/ca23d28e-1c34-464d-bf29-e215289b9832","LumiNUS course site")</f>
      </c>
      <c r="F1316" s="0" t="s">
        <v>73</v>
      </c>
      <c r="G1316" s="0" t="s">
        <v>81</v>
      </c>
      <c r="H1316" s="3">
        <v>60</v>
      </c>
    </row>
    <row r="1317">
      <c r="A1317" s="0" t="s">
        <v>2480</v>
      </c>
      <c r="B1317" s="0" t="s">
        <v>2481</v>
      </c>
      <c r="C1317" s="5">
        <f>=HYPERLINK("https://nusmods.com/modules/GEC1034#timetable","Timetable")</f>
      </c>
      <c r="D1317" s="5"/>
      <c r="E1317" s="5">
        <f>=HYPERLINK("https://luminus.nus.edu.sg/modules/1564a411-ab00-43d0-a7eb-b18e372b8527","LumiNUS course site")</f>
      </c>
      <c r="F1317" s="0" t="s">
        <v>73</v>
      </c>
      <c r="G1317" s="0" t="s">
        <v>775</v>
      </c>
      <c r="H1317" s="3">
        <v>53</v>
      </c>
    </row>
    <row r="1318">
      <c r="A1318" s="0" t="s">
        <v>2482</v>
      </c>
      <c r="B1318" s="0" t="s">
        <v>2483</v>
      </c>
      <c r="C1318" s="5">
        <f>=HYPERLINK("https://nusmods.com/modules/GEC1040#timetable","Timetable")</f>
      </c>
      <c r="D1318" s="5"/>
      <c r="E1318" s="5">
        <f>=HYPERLINK("https://luminus.nus.edu.sg/modules/494e05f5-2fc8-48d9-9896-dfdcde3f3551","LumiNUS course site")</f>
      </c>
      <c r="F1318" s="0" t="s">
        <v>10</v>
      </c>
      <c r="G1318" s="0" t="s">
        <v>790</v>
      </c>
      <c r="H1318" s="3">
        <v>67</v>
      </c>
    </row>
    <row r="1319">
      <c r="A1319" s="0" t="s">
        <v>2484</v>
      </c>
      <c r="B1319" s="0" t="s">
        <v>2485</v>
      </c>
      <c r="C1319" s="5">
        <f>=HYPERLINK("https://nusmods.com/modules/GEC1044#timetable","Timetable")</f>
      </c>
      <c r="D1319" s="5"/>
      <c r="E1319" s="5">
        <f>=HYPERLINK("https://luminus.nus.edu.sg/modules/44919756-f024-4e89-81d1-dc15a9a4edc0","LumiNUS course site")</f>
      </c>
      <c r="F1319" s="0" t="s">
        <v>73</v>
      </c>
      <c r="G1319" s="0" t="s">
        <v>952</v>
      </c>
      <c r="H1319" s="3">
        <v>255</v>
      </c>
    </row>
    <row r="1320">
      <c r="A1320" s="0" t="s">
        <v>2486</v>
      </c>
      <c r="B1320" s="0" t="s">
        <v>2487</v>
      </c>
      <c r="C1320" s="5">
        <f>=HYPERLINK("https://nusmods.com/modules/GEH1009#timetable","Timetable")</f>
      </c>
      <c r="D1320" s="5"/>
      <c r="E1320" s="5">
        <f>=HYPERLINK("https://luminus.nus.edu.sg/modules/21d8c175-3b3f-4eea-9a9a-99a90915c7fa","LumiNUS course site")</f>
      </c>
      <c r="F1320" s="0" t="s">
        <v>73</v>
      </c>
      <c r="G1320" s="0" t="s">
        <v>2488</v>
      </c>
      <c r="H1320" s="3">
        <v>46</v>
      </c>
    </row>
    <row r="1321">
      <c r="A1321" s="0" t="s">
        <v>2489</v>
      </c>
      <c r="B1321" s="0" t="s">
        <v>2454</v>
      </c>
      <c r="C1321" s="5">
        <f>=HYPERLINK("https://nusmods.com/modules/GEH1015#timetable","Timetable")</f>
      </c>
      <c r="D1321" s="5"/>
      <c r="E1321" s="5">
        <f>=HYPERLINK("https://luminus.nus.edu.sg/modules/e4926875-559d-4558-b438-ad32196a0a17","LumiNUS course site")</f>
      </c>
      <c r="F1321" s="0" t="s">
        <v>73</v>
      </c>
      <c r="G1321" s="0" t="s">
        <v>2455</v>
      </c>
      <c r="H1321" s="3">
        <v>37</v>
      </c>
    </row>
    <row r="1322">
      <c r="A1322" s="0" t="s">
        <v>2490</v>
      </c>
      <c r="B1322" s="0" t="s">
        <v>2457</v>
      </c>
      <c r="C1322" s="5">
        <f>=HYPERLINK("https://nusmods.com/modules/GEH1016#timetable","Timetable")</f>
      </c>
      <c r="D1322" s="5"/>
      <c r="E1322" s="5">
        <f>=HYPERLINK("https://luminus.nus.edu.sg/modules/bfa18115-aeb3-4461-9ff1-f66f9f5eba43","LumiNUS course site")</f>
      </c>
      <c r="F1322" s="0" t="s">
        <v>73</v>
      </c>
      <c r="G1322" s="0" t="s">
        <v>2455</v>
      </c>
      <c r="H1322" s="3">
        <v>84</v>
      </c>
    </row>
    <row r="1323">
      <c r="A1323" s="0" t="s">
        <v>2491</v>
      </c>
      <c r="B1323" s="0" t="s">
        <v>2459</v>
      </c>
      <c r="C1323" s="5">
        <f>=HYPERLINK("https://nusmods.com/modules/GEH1049#timetable","Timetable")</f>
      </c>
      <c r="D1323" s="5"/>
      <c r="E1323" s="5">
        <f>=HYPERLINK("https://luminus.nus.edu.sg/modules/d65ed9c8-0f7c-4199-bb75-237d87f6ca57","LumiNUS course site")</f>
      </c>
      <c r="F1323" s="0" t="s">
        <v>2460</v>
      </c>
      <c r="G1323" s="0" t="s">
        <v>2461</v>
      </c>
      <c r="H1323" s="3">
        <v>242</v>
      </c>
    </row>
    <row r="1324">
      <c r="A1324" s="0" t="s">
        <v>2492</v>
      </c>
      <c r="B1324" s="0" t="s">
        <v>2463</v>
      </c>
      <c r="C1324" s="5">
        <f>=HYPERLINK("https://nusmods.com/modules/GEH1053#timetable","Timetable")</f>
      </c>
      <c r="D1324" s="5"/>
      <c r="E1324" s="5">
        <f>=HYPERLINK("https://luminus.nus.edu.sg/modules/95f682b8-7694-44b0-9e45-edcde4e255a4","LumiNUS course site")</f>
      </c>
      <c r="F1324" s="0" t="s">
        <v>73</v>
      </c>
      <c r="G1324" s="0" t="s">
        <v>2042</v>
      </c>
      <c r="H1324" s="3">
        <v>71</v>
      </c>
    </row>
    <row r="1325">
      <c r="A1325" s="0" t="s">
        <v>2493</v>
      </c>
      <c r="B1325" s="0" t="s">
        <v>2465</v>
      </c>
      <c r="C1325" s="5">
        <f>=HYPERLINK("https://nusmods.com/modules/GEH1054#timetable","Timetable")</f>
      </c>
      <c r="D1325" s="5"/>
      <c r="E1325" s="5">
        <f>=HYPERLINK("https://luminus.nus.edu.sg/modules/9014bafd-59e3-4be0-a01b-5ce8575c4b6a","LumiNUS course site")</f>
      </c>
      <c r="F1325" s="0" t="s">
        <v>73</v>
      </c>
      <c r="G1325" s="0" t="s">
        <v>2042</v>
      </c>
      <c r="H1325" s="3">
        <v>17</v>
      </c>
    </row>
    <row r="1326">
      <c r="A1326" s="0" t="s">
        <v>2494</v>
      </c>
      <c r="B1326" s="0" t="s">
        <v>2467</v>
      </c>
      <c r="C1326" s="5">
        <f>=HYPERLINK("https://nusmods.com/modules/GEH1056#timetable","Timetable")</f>
      </c>
      <c r="D1326" s="5"/>
      <c r="E1326" s="5">
        <f>=HYPERLINK("https://luminus.nus.edu.sg/modules/13de4997-fb56-47d9-ab83-d65fe34f3bd3","LumiNUS course site")</f>
      </c>
      <c r="F1326" s="0" t="s">
        <v>73</v>
      </c>
      <c r="G1326" s="0" t="s">
        <v>94</v>
      </c>
      <c r="H1326" s="3">
        <v>40</v>
      </c>
    </row>
    <row r="1327">
      <c r="A1327" s="0" t="s">
        <v>2495</v>
      </c>
      <c r="B1327" s="0" t="s">
        <v>2469</v>
      </c>
      <c r="C1327" s="5">
        <f>=HYPERLINK("https://nusmods.com/modules/GEH1060#timetable","Timetable")</f>
      </c>
      <c r="D1327" s="5"/>
      <c r="E1327" s="5">
        <f>=HYPERLINK("https://luminus.nus.edu.sg/modules/ab517933-fedf-4f7c-861b-a377a6b34ef2","LumiNUS course site")</f>
      </c>
      <c r="F1327" s="0" t="s">
        <v>2470</v>
      </c>
      <c r="G1327" s="0" t="s">
        <v>2471</v>
      </c>
      <c r="H1327" s="3">
        <v>20</v>
      </c>
    </row>
    <row r="1328">
      <c r="A1328" s="0" t="s">
        <v>2496</v>
      </c>
      <c r="B1328" s="0" t="s">
        <v>2473</v>
      </c>
      <c r="C1328" s="5">
        <f>=HYPERLINK("https://nusmods.com/modules/GEH1062#timetable","Timetable")</f>
      </c>
      <c r="D1328" s="5"/>
      <c r="E1328" s="5">
        <f>=HYPERLINK("https://luminus.nus.edu.sg/modules/daa5e5b5-dda1-4e3a-a05a-5fc3e42f9b9d","LumiNUS course site")</f>
      </c>
      <c r="F1328" s="0" t="s">
        <v>73</v>
      </c>
      <c r="G1328" s="0" t="s">
        <v>94</v>
      </c>
      <c r="H1328" s="3">
        <v>69</v>
      </c>
    </row>
    <row r="1329">
      <c r="A1329" s="0" t="s">
        <v>2497</v>
      </c>
      <c r="B1329" s="0" t="s">
        <v>2498</v>
      </c>
      <c r="C1329" s="5">
        <f>=HYPERLINK("https://nusmods.com/modules/GEH1070#timetable","Timetable")</f>
      </c>
      <c r="D1329" s="5"/>
      <c r="E1329" s="5">
        <f>=HYPERLINK("https://luminus.nus.edu.sg/modules/44919756-f024-4e89-81d1-dc15a9a4edc0","LumiNUS course site")</f>
      </c>
      <c r="F1329" s="0" t="s">
        <v>73</v>
      </c>
      <c r="G1329" s="0" t="s">
        <v>952</v>
      </c>
      <c r="H1329" s="3">
        <v>300</v>
      </c>
    </row>
    <row r="1330">
      <c r="A1330" s="0" t="s">
        <v>2499</v>
      </c>
      <c r="B1330" s="0" t="s">
        <v>2475</v>
      </c>
      <c r="C1330" s="5">
        <f>=HYPERLINK("https://nusmods.com/modules/GEH1074#timetable","Timetable")</f>
      </c>
      <c r="D1330" s="5"/>
      <c r="E1330" s="5">
        <f>=HYPERLINK("https://luminus.nus.edu.sg/modules/b3edfec5-6000-4ae3-9620-0beebae752b9","LumiNUS course site")</f>
      </c>
      <c r="F1330" s="0" t="s">
        <v>73</v>
      </c>
      <c r="G1330" s="0" t="s">
        <v>1735</v>
      </c>
      <c r="H1330" s="3">
        <v>92</v>
      </c>
    </row>
    <row r="1331">
      <c r="A1331" s="0" t="s">
        <v>2500</v>
      </c>
      <c r="B1331" s="0" t="s">
        <v>2477</v>
      </c>
      <c r="C1331" s="5">
        <f>=HYPERLINK("https://nusmods.com/modules/GEH1076#timetable","Timetable")</f>
      </c>
      <c r="D1331" s="5"/>
      <c r="E1331" s="5">
        <f>=HYPERLINK("https://luminus.nus.edu.sg/modules/941740ef-5e87-44a9-8a06-e0750a3930c5","LumiNUS course site")</f>
      </c>
      <c r="F1331" s="0" t="s">
        <v>73</v>
      </c>
      <c r="G1331" s="0" t="s">
        <v>2382</v>
      </c>
      <c r="H1331" s="3">
        <v>14</v>
      </c>
    </row>
    <row r="1332">
      <c r="A1332" s="0" t="s">
        <v>2501</v>
      </c>
      <c r="B1332" s="0" t="s">
        <v>2479</v>
      </c>
      <c r="C1332" s="5">
        <f>=HYPERLINK("https://nusmods.com/modules/GEH1077#timetable","Timetable")</f>
      </c>
      <c r="D1332" s="5"/>
      <c r="E1332" s="5">
        <f>=HYPERLINK("https://luminus.nus.edu.sg/modules/ca23d28e-1c34-464d-bf29-e215289b9832","LumiNUS course site")</f>
      </c>
      <c r="F1332" s="0" t="s">
        <v>73</v>
      </c>
      <c r="G1332" s="0" t="s">
        <v>81</v>
      </c>
      <c r="H1332" s="3">
        <v>92</v>
      </c>
    </row>
    <row r="1333">
      <c r="A1333" s="0" t="s">
        <v>2502</v>
      </c>
      <c r="B1333" s="0" t="s">
        <v>2503</v>
      </c>
      <c r="C1333" s="5">
        <f>=HYPERLINK("https://nusmods.com/modules/GEI1000#timetable","Timetable")</f>
      </c>
      <c r="D1333" s="5"/>
      <c r="E1333" s="5">
        <f>=HYPERLINK("https://luminus.nus.edu.sg/modules/661d283e-5134-4a17-af72-b1b632e21062","LumiNUS course site")</f>
      </c>
      <c r="F1333" s="0" t="s">
        <v>724</v>
      </c>
      <c r="G1333" s="0" t="s">
        <v>762</v>
      </c>
      <c r="H1333" s="3">
        <v>130</v>
      </c>
    </row>
    <row r="1334">
      <c r="A1334" s="0" t="s">
        <v>2504</v>
      </c>
      <c r="B1334" s="0" t="s">
        <v>2505</v>
      </c>
      <c r="C1334" s="5">
        <f>=HYPERLINK("https://nusmods.com/modules/GEI1001#timetable","Timetable")</f>
      </c>
      <c r="D1334" s="5"/>
      <c r="E1334" s="5">
        <f>=HYPERLINK("https://luminus.nus.edu.sg/modules/c83a507b-b25b-4250-9f17-a45c7e48418f","LumiNUS course site")</f>
      </c>
      <c r="F1334" s="0" t="s">
        <v>73</v>
      </c>
      <c r="G1334" s="0" t="s">
        <v>1514</v>
      </c>
      <c r="H1334" s="3">
        <v>512</v>
      </c>
    </row>
    <row r="1335">
      <c r="A1335" s="0" t="s">
        <v>2506</v>
      </c>
      <c r="B1335" s="0" t="s">
        <v>2507</v>
      </c>
      <c r="C1335" s="5">
        <f>=HYPERLINK("https://nusmods.com/modules/GEI1002#timetable","Timetable")</f>
      </c>
      <c r="D1335" s="5"/>
      <c r="E1335" s="5">
        <f>=HYPERLINK("https://luminus.nus.edu.sg/modules/7334affb-2d14-4903-864f-a1410b21f50a","LumiNUS course site")</f>
      </c>
      <c r="F1335" s="0" t="s">
        <v>73</v>
      </c>
      <c r="G1335" s="0" t="s">
        <v>2042</v>
      </c>
      <c r="H1335" s="3">
        <v>87</v>
      </c>
    </row>
    <row r="1336">
      <c r="A1336" s="0" t="s">
        <v>2508</v>
      </c>
      <c r="B1336" s="0" t="s">
        <v>2509</v>
      </c>
      <c r="C1336" s="5">
        <f>=HYPERLINK("https://nusmods.com/modules/GEN2000#timetable","Timetable")</f>
      </c>
      <c r="D1336" s="5"/>
      <c r="E1336" s="5">
        <f>=HYPERLINK("https://luminus.nus.edu.sg/modules/71d547f3-0618-4a3c-8040-e8a3321fffa7","LumiNUS course site")</f>
      </c>
      <c r="F1336" s="0" t="s">
        <v>73</v>
      </c>
      <c r="G1336" s="0" t="s">
        <v>2488</v>
      </c>
      <c r="H1336" s="3">
        <v>50</v>
      </c>
    </row>
    <row r="1337">
      <c r="A1337" s="0" t="s">
        <v>2510</v>
      </c>
      <c r="B1337" s="0" t="s">
        <v>2511</v>
      </c>
      <c r="C1337" s="5">
        <f>=HYPERLINK("https://nusmods.com/modules/GEN2001#timetable","Timetable")</f>
      </c>
      <c r="D1337" s="5"/>
      <c r="E1337" s="5">
        <f>=HYPERLINK("https://luminus.nus.edu.sg/modules/d70c1bc7-6b77-4e6d-b20b-0f3a98269a25","LumiNUS course site")</f>
      </c>
      <c r="F1337" s="0" t="s">
        <v>73</v>
      </c>
      <c r="G1337" s="0" t="s">
        <v>2042</v>
      </c>
      <c r="H1337" s="3">
        <v>118</v>
      </c>
    </row>
    <row r="1338">
      <c r="A1338" s="0" t="s">
        <v>2512</v>
      </c>
      <c r="B1338" s="0" t="s">
        <v>2513</v>
      </c>
      <c r="C1338" s="5">
        <f>=HYPERLINK("https://nusmods.com/modules/GEN2002#timetable","Timetable")</f>
      </c>
      <c r="D1338" s="5">
        <f>=HYPERLINK("https://canvas.nus.edu.sg/courses/27157","Canvas course site")</f>
      </c>
      <c r="E1338" s="5"/>
      <c r="F1338" s="0" t="s">
        <v>926</v>
      </c>
      <c r="G1338" s="0" t="s">
        <v>927</v>
      </c>
      <c r="H1338" s="3">
        <v>24</v>
      </c>
    </row>
    <row r="1339">
      <c r="A1339" s="0" t="s">
        <v>2514</v>
      </c>
      <c r="B1339" s="0" t="s">
        <v>2515</v>
      </c>
      <c r="C1339" s="5">
        <f>=HYPERLINK("https://nusmods.com/modules/GEN2050#timetable","Timetable")</f>
      </c>
      <c r="D1339" s="5">
        <f>=HYPERLINK("https://canvas.nus.edu.sg/courses/27158","Canvas course site")</f>
      </c>
      <c r="E1339" s="5"/>
      <c r="F1339" s="0" t="s">
        <v>926</v>
      </c>
      <c r="G1339" s="0" t="s">
        <v>927</v>
      </c>
      <c r="H1339" s="3">
        <v>50</v>
      </c>
    </row>
    <row r="1340">
      <c r="A1340" s="0" t="s">
        <v>2516</v>
      </c>
      <c r="B1340" s="0" t="s">
        <v>2517</v>
      </c>
      <c r="C1340" s="5">
        <f>=HYPERLINK("https://nusmods.com/modules/GEN2060#timetable","Timetable")</f>
      </c>
      <c r="D1340" s="5">
        <f>=HYPERLINK("https://canvas.nus.edu.sg/courses/27159","Canvas course site")</f>
      </c>
      <c r="E1340" s="5"/>
      <c r="F1340" s="0" t="s">
        <v>926</v>
      </c>
      <c r="G1340" s="0" t="s">
        <v>927</v>
      </c>
      <c r="H1340" s="3">
        <v>53</v>
      </c>
    </row>
    <row r="1341">
      <c r="A1341" s="0" t="s">
        <v>2518</v>
      </c>
      <c r="B1341" s="0" t="s">
        <v>2519</v>
      </c>
      <c r="C1341" s="5">
        <f>=HYPERLINK("https://nusmods.com/modules/GEN2061#timetable","Timetable")</f>
      </c>
      <c r="D1341" s="5">
        <f>=HYPERLINK("https://canvas.nus.edu.sg/courses/27160","Canvas course site")</f>
      </c>
      <c r="E1341" s="5"/>
      <c r="F1341" s="0" t="s">
        <v>926</v>
      </c>
      <c r="G1341" s="0" t="s">
        <v>927</v>
      </c>
      <c r="H1341" s="3">
        <v>51</v>
      </c>
    </row>
    <row r="1342">
      <c r="A1342" s="0" t="s">
        <v>2520</v>
      </c>
      <c r="B1342" s="0" t="s">
        <v>2521</v>
      </c>
      <c r="C1342" s="5">
        <f>=HYPERLINK("https://nusmods.com/modules/GEN2070#timetable","Timetable")</f>
      </c>
      <c r="D1342" s="5">
        <f>=HYPERLINK("https://canvas.nus.edu.sg/courses/27161","Canvas course site")</f>
      </c>
      <c r="E1342" s="5"/>
      <c r="F1342" s="0" t="s">
        <v>926</v>
      </c>
      <c r="G1342" s="0" t="s">
        <v>927</v>
      </c>
      <c r="H1342" s="3">
        <v>50</v>
      </c>
    </row>
    <row r="1343">
      <c r="A1343" s="0" t="s">
        <v>2522</v>
      </c>
      <c r="B1343" s="0" t="s">
        <v>2523</v>
      </c>
      <c r="C1343" s="5">
        <f>=HYPERLINK("https://nusmods.com/modules/GEQ1000#timetable","Timetable")</f>
      </c>
      <c r="D1343" s="5"/>
      <c r="E1343" s="5"/>
      <c r="F1343" s="0" t="s">
        <v>926</v>
      </c>
      <c r="G1343" s="0" t="s">
        <v>927</v>
      </c>
      <c r="H1343" s="3">
        <v>0</v>
      </c>
    </row>
    <row r="1344">
      <c r="A1344" s="0" t="s">
        <v>2524</v>
      </c>
      <c r="B1344" s="0" t="s">
        <v>2525</v>
      </c>
      <c r="C1344" s="5">
        <f>=HYPERLINK("https://nusmods.com/modules/GER1000H#timetable","Timetable")</f>
      </c>
      <c r="D1344" s="5"/>
      <c r="E1344" s="5"/>
      <c r="F1344" s="0" t="s">
        <v>926</v>
      </c>
      <c r="G1344" s="0" t="s">
        <v>927</v>
      </c>
      <c r="H1344" s="3">
        <v>0</v>
      </c>
    </row>
    <row r="1345">
      <c r="A1345" s="0" t="s">
        <v>2526</v>
      </c>
      <c r="B1345" s="0" t="s">
        <v>2527</v>
      </c>
      <c r="C1345" s="5">
        <f>=HYPERLINK("https://nusmods.com/modules/GES1002#timetable","Timetable")</f>
      </c>
      <c r="D1345" s="5"/>
      <c r="E1345" s="5">
        <f>=HYPERLINK("https://luminus.nus.edu.sg/modules/5d6c7782-1b94-457b-967d-710f01804b08","LumiNUS course site")</f>
      </c>
      <c r="F1345" s="0" t="s">
        <v>73</v>
      </c>
      <c r="G1345" s="0" t="s">
        <v>1735</v>
      </c>
      <c r="H1345" s="3">
        <v>78</v>
      </c>
    </row>
    <row r="1346">
      <c r="A1346" s="0" t="s">
        <v>2528</v>
      </c>
      <c r="B1346" s="0" t="s">
        <v>2529</v>
      </c>
      <c r="C1346" s="5">
        <f>=HYPERLINK("https://nusmods.com/modules/GES1005#timetable","Timetable")</f>
      </c>
      <c r="D1346" s="5"/>
      <c r="E1346" s="5">
        <f>=HYPERLINK("https://luminus.nus.edu.sg/modules/8e56874f-390e-4d0d-b996-6b1fea0f5b2a","LumiNUS course site")</f>
      </c>
      <c r="F1346" s="0" t="s">
        <v>73</v>
      </c>
      <c r="G1346" s="0" t="s">
        <v>952</v>
      </c>
      <c r="H1346" s="3">
        <v>76</v>
      </c>
    </row>
    <row r="1347">
      <c r="A1347" s="0" t="s">
        <v>2530</v>
      </c>
      <c r="B1347" s="0" t="s">
        <v>2531</v>
      </c>
      <c r="C1347" s="5">
        <f>=HYPERLINK("https://nusmods.com/modules/GES1007#timetable","Timetable")</f>
      </c>
      <c r="D1347" s="5"/>
      <c r="E1347" s="5">
        <f>=HYPERLINK("https://luminus.nus.edu.sg/modules/a7d0922e-0420-4664-8e1c-77c69fb0a1b1","LumiNUS course site")</f>
      </c>
      <c r="F1347" s="0" t="s">
        <v>73</v>
      </c>
      <c r="G1347" s="0" t="s">
        <v>2488</v>
      </c>
      <c r="H1347" s="3">
        <v>73</v>
      </c>
    </row>
    <row r="1348">
      <c r="A1348" s="0" t="s">
        <v>2532</v>
      </c>
      <c r="B1348" s="0" t="s">
        <v>2533</v>
      </c>
      <c r="C1348" s="5">
        <f>=HYPERLINK("https://nusmods.com/modules/GES1008#timetable","Timetable")</f>
      </c>
      <c r="D1348" s="5"/>
      <c r="E1348" s="5">
        <f>=HYPERLINK("https://luminus.nus.edu.sg/modules/0a7a0a05-1ac9-415d-89a3-f97b9fd547ec","LumiNUS course site")</f>
      </c>
      <c r="F1348" s="0" t="s">
        <v>73</v>
      </c>
      <c r="G1348" s="0" t="s">
        <v>2534</v>
      </c>
      <c r="H1348" s="3">
        <v>34</v>
      </c>
    </row>
    <row r="1349">
      <c r="A1349" s="0" t="s">
        <v>2535</v>
      </c>
      <c r="B1349" s="0" t="s">
        <v>2536</v>
      </c>
      <c r="C1349" s="5">
        <f>=HYPERLINK("https://nusmods.com/modules/GES1011#timetable","Timetable")</f>
      </c>
      <c r="D1349" s="5"/>
      <c r="E1349" s="5">
        <f>=HYPERLINK("https://luminus.nus.edu.sg/modules/82d5dfe4-4104-453a-a3f9-2b518b6d6b14","LumiNUS course site")</f>
      </c>
      <c r="F1349" s="0" t="s">
        <v>73</v>
      </c>
      <c r="G1349" s="0" t="s">
        <v>81</v>
      </c>
      <c r="H1349" s="3">
        <v>57</v>
      </c>
    </row>
    <row r="1350">
      <c r="A1350" s="0" t="s">
        <v>2537</v>
      </c>
      <c r="B1350" s="0" t="s">
        <v>2538</v>
      </c>
      <c r="C1350" s="5">
        <f>=HYPERLINK("https://nusmods.com/modules/GES1014#timetable","Timetable")</f>
      </c>
      <c r="D1350" s="5"/>
      <c r="E1350" s="5">
        <f>=HYPERLINK("https://luminus.nus.edu.sg/modules/6f5071b5-dcef-4bda-adc2-56a3ab5b9fa0","LumiNUS course site")</f>
      </c>
      <c r="F1350" s="0" t="s">
        <v>73</v>
      </c>
      <c r="G1350" s="0" t="s">
        <v>2534</v>
      </c>
      <c r="H1350" s="3">
        <v>19</v>
      </c>
    </row>
    <row r="1351">
      <c r="A1351" s="0" t="s">
        <v>2539</v>
      </c>
      <c r="B1351" s="0" t="s">
        <v>2540</v>
      </c>
      <c r="C1351" s="5">
        <f>=HYPERLINK("https://nusmods.com/modules/GES1019#timetable","Timetable")</f>
      </c>
      <c r="D1351" s="5"/>
      <c r="E1351" s="5">
        <f>=HYPERLINK("https://luminus.nus.edu.sg/modules/003522fc-a130-43d3-af70-3c9f5739d901","LumiNUS course site")</f>
      </c>
      <c r="F1351" s="0" t="s">
        <v>10</v>
      </c>
      <c r="G1351" s="0" t="s">
        <v>660</v>
      </c>
      <c r="H1351" s="3">
        <v>61</v>
      </c>
    </row>
    <row r="1352">
      <c r="A1352" s="0" t="s">
        <v>2541</v>
      </c>
      <c r="B1352" s="0" t="s">
        <v>2542</v>
      </c>
      <c r="C1352" s="5">
        <f>=HYPERLINK("https://nusmods.com/modules/GES1020#timetable","Timetable")</f>
      </c>
      <c r="D1352" s="5">
        <f>=HYPERLINK("https://canvas.nus.edu.sg/courses/24218","Canvas course site")</f>
      </c>
      <c r="E1352" s="5"/>
      <c r="F1352" s="0" t="s">
        <v>2470</v>
      </c>
      <c r="G1352" s="0" t="s">
        <v>2471</v>
      </c>
      <c r="H1352" s="3">
        <v>25</v>
      </c>
    </row>
    <row r="1353">
      <c r="A1353" s="0" t="s">
        <v>2543</v>
      </c>
      <c r="B1353" s="0" t="s">
        <v>2544</v>
      </c>
      <c r="C1353" s="5">
        <f>=HYPERLINK("https://nusmods.com/modules/GES1021#timetable","Timetable")</f>
      </c>
      <c r="D1353" s="5"/>
      <c r="E1353" s="5">
        <f>=HYPERLINK("https://luminus.nus.edu.sg/modules/3c6e709a-7bb2-45e7-9587-ab9acfe8781b","LumiNUS course site")</f>
      </c>
      <c r="F1353" s="0" t="s">
        <v>266</v>
      </c>
      <c r="G1353" s="0" t="s">
        <v>267</v>
      </c>
      <c r="H1353" s="3">
        <v>96</v>
      </c>
    </row>
    <row r="1354">
      <c r="A1354" s="0" t="s">
        <v>2545</v>
      </c>
      <c r="B1354" s="0" t="s">
        <v>2546</v>
      </c>
      <c r="C1354" s="5">
        <f>=HYPERLINK("https://nusmods.com/modules/GES1024#timetable","Timetable")</f>
      </c>
      <c r="D1354" s="5"/>
      <c r="E1354" s="5">
        <f>=HYPERLINK("https://luminus.nus.edu.sg/modules/67a56815-aea7-49ae-bf80-174abd82a99b","LumiNUS course site")</f>
      </c>
      <c r="F1354" s="0" t="s">
        <v>28</v>
      </c>
      <c r="G1354" s="0" t="s">
        <v>2547</v>
      </c>
      <c r="H1354" s="3">
        <v>33</v>
      </c>
    </row>
    <row r="1355">
      <c r="A1355" s="0" t="s">
        <v>2548</v>
      </c>
      <c r="B1355" s="0" t="s">
        <v>2549</v>
      </c>
      <c r="C1355" s="5">
        <f>=HYPERLINK("https://nusmods.com/modules/GES1026#timetable","Timetable")</f>
      </c>
      <c r="D1355" s="5"/>
      <c r="E1355" s="5">
        <f>=HYPERLINK("https://luminus.nus.edu.sg/modules/1faa2fa6-9624-43bf-95ac-71b3b4ce54d3","LumiNUS course site")</f>
      </c>
      <c r="F1355" s="0" t="s">
        <v>28</v>
      </c>
      <c r="G1355" s="0" t="s">
        <v>2547</v>
      </c>
      <c r="H1355" s="3">
        <v>35</v>
      </c>
    </row>
    <row r="1356">
      <c r="A1356" s="0" t="s">
        <v>2550</v>
      </c>
      <c r="B1356" s="0" t="s">
        <v>2551</v>
      </c>
      <c r="C1356" s="5">
        <f>=HYPERLINK("https://nusmods.com/modules/GES1028#timetable","Timetable")</f>
      </c>
      <c r="D1356" s="5"/>
      <c r="E1356" s="5">
        <f>=HYPERLINK("https://luminus.nus.edu.sg/modules/c644c7c5-0491-414d-9e09-69bb8703e0bd","LumiNUS course site")</f>
      </c>
      <c r="F1356" s="0" t="s">
        <v>73</v>
      </c>
      <c r="G1356" s="0" t="s">
        <v>94</v>
      </c>
      <c r="H1356" s="3">
        <v>90</v>
      </c>
    </row>
    <row r="1357">
      <c r="A1357" s="0" t="s">
        <v>2552</v>
      </c>
      <c r="B1357" s="0" t="s">
        <v>2553</v>
      </c>
      <c r="C1357" s="5">
        <f>=HYPERLINK("https://nusmods.com/modules/GES1034#timetable","Timetable")</f>
      </c>
      <c r="D1357" s="5"/>
      <c r="E1357" s="5">
        <f>=HYPERLINK("https://luminus.nus.edu.sg/modules/b2b2b42d-44cc-4477-8fc1-f1e1c5306eb0","LumiNUS course site")</f>
      </c>
      <c r="F1357" s="0" t="s">
        <v>73</v>
      </c>
      <c r="G1357" s="0" t="s">
        <v>2554</v>
      </c>
      <c r="H1357" s="3">
        <v>19</v>
      </c>
    </row>
    <row r="1358">
      <c r="A1358" s="0" t="s">
        <v>2555</v>
      </c>
      <c r="B1358" s="0" t="s">
        <v>2556</v>
      </c>
      <c r="C1358" s="5">
        <f>=HYPERLINK("https://nusmods.com/modules/GES1035#timetable","Timetable")</f>
      </c>
      <c r="D1358" s="5"/>
      <c r="E1358" s="5">
        <f>=HYPERLINK("https://luminus.nus.edu.sg/modules/fe14b8ee-374a-4e3c-b460-ffd3a608908c","LumiNUS course site")</f>
      </c>
      <c r="F1358" s="0" t="s">
        <v>73</v>
      </c>
      <c r="G1358" s="0" t="s">
        <v>94</v>
      </c>
      <c r="H1358" s="3">
        <v>267</v>
      </c>
    </row>
    <row r="1359">
      <c r="A1359" s="0" t="s">
        <v>2557</v>
      </c>
      <c r="B1359" s="0" t="s">
        <v>2558</v>
      </c>
      <c r="C1359" s="5">
        <f>=HYPERLINK("https://nusmods.com/modules/GES1039#timetable","Timetable")</f>
      </c>
      <c r="D1359" s="5"/>
      <c r="E1359" s="5">
        <f>=HYPERLINK("https://luminus.nus.edu.sg/modules/bf3d9542-80f7-4d3a-a19c-39f866da8a7b","LumiNUS course site")</f>
      </c>
      <c r="F1359" s="0" t="s">
        <v>73</v>
      </c>
      <c r="G1359" s="0" t="s">
        <v>2042</v>
      </c>
      <c r="H1359" s="3">
        <v>35</v>
      </c>
    </row>
    <row r="1360">
      <c r="A1360" s="0" t="s">
        <v>2559</v>
      </c>
      <c r="B1360" s="0" t="s">
        <v>2560</v>
      </c>
      <c r="C1360" s="5">
        <f>=HYPERLINK("https://nusmods.com/modules/GES1040#timetable","Timetable")</f>
      </c>
      <c r="D1360" s="5"/>
      <c r="E1360" s="5">
        <f>=HYPERLINK("https://luminus.nus.edu.sg/modules/2a86b7ad-4a84-4abd-ae6c-0ef2482241f3","LumiNUS course site")</f>
      </c>
      <c r="F1360" s="0" t="s">
        <v>73</v>
      </c>
      <c r="G1360" s="0" t="s">
        <v>952</v>
      </c>
      <c r="H1360" s="3">
        <v>38</v>
      </c>
    </row>
    <row r="1361">
      <c r="A1361" s="0" t="s">
        <v>2561</v>
      </c>
      <c r="B1361" s="0" t="s">
        <v>2562</v>
      </c>
      <c r="C1361" s="5">
        <f>=HYPERLINK("https://nusmods.com/modules/GES1041#timetable","Timetable")</f>
      </c>
      <c r="D1361" s="5"/>
      <c r="E1361" s="5">
        <f>=HYPERLINK("https://luminus.nus.edu.sg/modules/f7489a54-3c59-4c67-8e3c-82fac4762293","LumiNUS course site")</f>
      </c>
      <c r="F1361" s="0" t="s">
        <v>73</v>
      </c>
      <c r="G1361" s="0" t="s">
        <v>1514</v>
      </c>
      <c r="H1361" s="3">
        <v>144</v>
      </c>
    </row>
    <row r="1362">
      <c r="A1362" s="0" t="s">
        <v>2563</v>
      </c>
      <c r="B1362" s="0" t="s">
        <v>2527</v>
      </c>
      <c r="C1362" s="5">
        <f>=HYPERLINK("https://nusmods.com/modules/GESS1000#timetable","Timetable")</f>
      </c>
      <c r="D1362" s="5"/>
      <c r="E1362" s="5">
        <f>=HYPERLINK("https://luminus.nus.edu.sg/modules/5d6c7782-1b94-457b-967d-710f01804b08","LumiNUS course site")</f>
      </c>
      <c r="F1362" s="0" t="s">
        <v>73</v>
      </c>
      <c r="G1362" s="0" t="s">
        <v>1735</v>
      </c>
      <c r="H1362" s="3">
        <v>95</v>
      </c>
    </row>
    <row r="1363">
      <c r="A1363" s="0" t="s">
        <v>2564</v>
      </c>
      <c r="B1363" s="0" t="s">
        <v>2529</v>
      </c>
      <c r="C1363" s="5">
        <f>=HYPERLINK("https://nusmods.com/modules/GESS1003#timetable","Timetable")</f>
      </c>
      <c r="D1363" s="5"/>
      <c r="E1363" s="5">
        <f>=HYPERLINK("https://luminus.nus.edu.sg/modules/8e56874f-390e-4d0d-b996-6b1fea0f5b2a","LumiNUS course site")</f>
      </c>
      <c r="F1363" s="0" t="s">
        <v>73</v>
      </c>
      <c r="G1363" s="0" t="s">
        <v>952</v>
      </c>
      <c r="H1363" s="3">
        <v>81</v>
      </c>
    </row>
    <row r="1364">
      <c r="A1364" s="0" t="s">
        <v>2565</v>
      </c>
      <c r="B1364" s="0" t="s">
        <v>2531</v>
      </c>
      <c r="C1364" s="5">
        <f>=HYPERLINK("https://nusmods.com/modules/GESS1005#timetable","Timetable")</f>
      </c>
      <c r="D1364" s="5"/>
      <c r="E1364" s="5">
        <f>=HYPERLINK("https://luminus.nus.edu.sg/modules/a7d0922e-0420-4664-8e1c-77c69fb0a1b1","LumiNUS course site")</f>
      </c>
      <c r="F1364" s="0" t="s">
        <v>73</v>
      </c>
      <c r="G1364" s="0" t="s">
        <v>2488</v>
      </c>
      <c r="H1364" s="3">
        <v>66</v>
      </c>
    </row>
    <row r="1365">
      <c r="A1365" s="0" t="s">
        <v>2566</v>
      </c>
      <c r="B1365" s="0" t="s">
        <v>2533</v>
      </c>
      <c r="C1365" s="5">
        <f>=HYPERLINK("https://nusmods.com/modules/GESS1006#timetable","Timetable")</f>
      </c>
      <c r="D1365" s="5"/>
      <c r="E1365" s="5">
        <f>=HYPERLINK("https://luminus.nus.edu.sg/modules/0a7a0a05-1ac9-415d-89a3-f97b9fd547ec","LumiNUS course site")</f>
      </c>
      <c r="F1365" s="0" t="s">
        <v>73</v>
      </c>
      <c r="G1365" s="0" t="s">
        <v>2534</v>
      </c>
      <c r="H1365" s="3">
        <v>40</v>
      </c>
    </row>
    <row r="1366">
      <c r="A1366" s="0" t="s">
        <v>2567</v>
      </c>
      <c r="B1366" s="0" t="s">
        <v>2536</v>
      </c>
      <c r="C1366" s="5">
        <f>=HYPERLINK("https://nusmods.com/modules/GESS1009#timetable","Timetable")</f>
      </c>
      <c r="D1366" s="5"/>
      <c r="E1366" s="5">
        <f>=HYPERLINK("https://luminus.nus.edu.sg/modules/82d5dfe4-4104-453a-a3f9-2b518b6d6b14","LumiNUS course site")</f>
      </c>
      <c r="F1366" s="0" t="s">
        <v>73</v>
      </c>
      <c r="G1366" s="0" t="s">
        <v>81</v>
      </c>
      <c r="H1366" s="3">
        <v>37</v>
      </c>
    </row>
    <row r="1367">
      <c r="A1367" s="0" t="s">
        <v>2568</v>
      </c>
      <c r="B1367" s="0" t="s">
        <v>2538</v>
      </c>
      <c r="C1367" s="5">
        <f>=HYPERLINK("https://nusmods.com/modules/GESS1012#timetable","Timetable")</f>
      </c>
      <c r="D1367" s="5"/>
      <c r="E1367" s="5">
        <f>=HYPERLINK("https://luminus.nus.edu.sg/modules/6f5071b5-dcef-4bda-adc2-56a3ab5b9fa0","LumiNUS course site")</f>
      </c>
      <c r="F1367" s="0" t="s">
        <v>73</v>
      </c>
      <c r="G1367" s="0" t="s">
        <v>2534</v>
      </c>
      <c r="H1367" s="3">
        <v>9</v>
      </c>
    </row>
    <row r="1368">
      <c r="A1368" s="0" t="s">
        <v>2569</v>
      </c>
      <c r="B1368" s="0" t="s">
        <v>2540</v>
      </c>
      <c r="C1368" s="5">
        <f>=HYPERLINK("https://nusmods.com/modules/GESS1014#timetable","Timetable")</f>
      </c>
      <c r="D1368" s="5"/>
      <c r="E1368" s="5">
        <f>=HYPERLINK("https://luminus.nus.edu.sg/modules/9e9006ff-db61-4532-ae89-268dfc85374c","LumiNUS course site")</f>
      </c>
      <c r="F1368" s="0" t="s">
        <v>10</v>
      </c>
      <c r="G1368" s="0" t="s">
        <v>660</v>
      </c>
      <c r="H1368" s="3">
        <v>75</v>
      </c>
    </row>
    <row r="1369">
      <c r="A1369" s="0" t="s">
        <v>2570</v>
      </c>
      <c r="B1369" s="0" t="s">
        <v>2542</v>
      </c>
      <c r="C1369" s="5">
        <f>=HYPERLINK("https://nusmods.com/modules/GESS1015#timetable","Timetable")</f>
      </c>
      <c r="D1369" s="5">
        <f>=HYPERLINK("https://canvas.nus.edu.sg/courses/24218","Canvas course site")</f>
      </c>
      <c r="E1369" s="5"/>
      <c r="F1369" s="0" t="s">
        <v>2470</v>
      </c>
      <c r="G1369" s="0" t="s">
        <v>2471</v>
      </c>
      <c r="H1369" s="3">
        <v>23</v>
      </c>
    </row>
    <row r="1370">
      <c r="A1370" s="0" t="s">
        <v>2571</v>
      </c>
      <c r="B1370" s="0" t="s">
        <v>2544</v>
      </c>
      <c r="C1370" s="5">
        <f>=HYPERLINK("https://nusmods.com/modules/GESS1016#timetable","Timetable")</f>
      </c>
      <c r="D1370" s="5"/>
      <c r="E1370" s="5">
        <f>=HYPERLINK("https://luminus.nus.edu.sg/modules/3c6e709a-7bb2-45e7-9587-ab9acfe8781b","LumiNUS course site")</f>
      </c>
      <c r="F1370" s="0" t="s">
        <v>266</v>
      </c>
      <c r="G1370" s="0" t="s">
        <v>267</v>
      </c>
      <c r="H1370" s="3">
        <v>29</v>
      </c>
    </row>
    <row r="1371">
      <c r="A1371" s="0" t="s">
        <v>2572</v>
      </c>
      <c r="B1371" s="0" t="s">
        <v>2546</v>
      </c>
      <c r="C1371" s="5">
        <f>=HYPERLINK("https://nusmods.com/modules/GESS1018#timetable","Timetable")</f>
      </c>
      <c r="D1371" s="5"/>
      <c r="E1371" s="5">
        <f>=HYPERLINK("https://luminus.nus.edu.sg/modules/67a56815-aea7-49ae-bf80-174abd82a99b","LumiNUS course site")</f>
      </c>
      <c r="F1371" s="0" t="s">
        <v>28</v>
      </c>
      <c r="G1371" s="0" t="s">
        <v>2547</v>
      </c>
      <c r="H1371" s="3">
        <v>59</v>
      </c>
    </row>
    <row r="1372">
      <c r="A1372" s="0" t="s">
        <v>2573</v>
      </c>
      <c r="B1372" s="0" t="s">
        <v>2549</v>
      </c>
      <c r="C1372" s="5">
        <f>=HYPERLINK("https://nusmods.com/modules/GESS1019#timetable","Timetable")</f>
      </c>
      <c r="D1372" s="5"/>
      <c r="E1372" s="5">
        <f>=HYPERLINK("https://luminus.nus.edu.sg/modules/1faa2fa6-9624-43bf-95ac-71b3b4ce54d3","LumiNUS course site")</f>
      </c>
      <c r="F1372" s="0" t="s">
        <v>28</v>
      </c>
      <c r="G1372" s="0" t="s">
        <v>2547</v>
      </c>
      <c r="H1372" s="3">
        <v>44</v>
      </c>
    </row>
    <row r="1373">
      <c r="A1373" s="0" t="s">
        <v>2574</v>
      </c>
      <c r="B1373" s="0" t="s">
        <v>2551</v>
      </c>
      <c r="C1373" s="5">
        <f>=HYPERLINK("https://nusmods.com/modules/GESS1020#timetable","Timetable")</f>
      </c>
      <c r="D1373" s="5"/>
      <c r="E1373" s="5">
        <f>=HYPERLINK("https://luminus.nus.edu.sg/modules/c644c7c5-0491-414d-9e09-69bb8703e0bd","LumiNUS course site")</f>
      </c>
      <c r="F1373" s="0" t="s">
        <v>73</v>
      </c>
      <c r="G1373" s="0" t="s">
        <v>94</v>
      </c>
      <c r="H1373" s="3">
        <v>47</v>
      </c>
    </row>
    <row r="1374">
      <c r="A1374" s="0" t="s">
        <v>2575</v>
      </c>
      <c r="B1374" s="0" t="s">
        <v>2553</v>
      </c>
      <c r="C1374" s="5">
        <f>=HYPERLINK("https://nusmods.com/modules/GESS1024#timetable","Timetable")</f>
      </c>
      <c r="D1374" s="5"/>
      <c r="E1374" s="5">
        <f>=HYPERLINK("https://luminus.nus.edu.sg/modules/b2b2b42d-44cc-4477-8fc1-f1e1c5306eb0","LumiNUS course site")</f>
      </c>
      <c r="F1374" s="0" t="s">
        <v>73</v>
      </c>
      <c r="G1374" s="0" t="s">
        <v>2554</v>
      </c>
      <c r="H1374" s="3">
        <v>18</v>
      </c>
    </row>
    <row r="1375">
      <c r="A1375" s="0" t="s">
        <v>2576</v>
      </c>
      <c r="B1375" s="0" t="s">
        <v>2556</v>
      </c>
      <c r="C1375" s="5">
        <f>=HYPERLINK("https://nusmods.com/modules/GESS1025#timetable","Timetable")</f>
      </c>
      <c r="D1375" s="5"/>
      <c r="E1375" s="5">
        <f>=HYPERLINK("https://luminus.nus.edu.sg/modules/fe14b8ee-374a-4e3c-b460-ffd3a608908c","LumiNUS course site")</f>
      </c>
      <c r="F1375" s="0" t="s">
        <v>73</v>
      </c>
      <c r="G1375" s="0" t="s">
        <v>94</v>
      </c>
      <c r="H1375" s="3">
        <v>624</v>
      </c>
    </row>
    <row r="1376">
      <c r="A1376" s="0" t="s">
        <v>2577</v>
      </c>
      <c r="B1376" s="0" t="s">
        <v>2558</v>
      </c>
      <c r="C1376" s="5">
        <f>=HYPERLINK("https://nusmods.com/modules/GESS1028#timetable","Timetable")</f>
      </c>
      <c r="D1376" s="5"/>
      <c r="E1376" s="5">
        <f>=HYPERLINK("https://luminus.nus.edu.sg/modules/bf3d9542-80f7-4d3a-a19c-39f866da8a7b","LumiNUS course site")</f>
      </c>
      <c r="F1376" s="0" t="s">
        <v>73</v>
      </c>
      <c r="G1376" s="0" t="s">
        <v>2042</v>
      </c>
      <c r="H1376" s="3">
        <v>30</v>
      </c>
    </row>
    <row r="1377">
      <c r="A1377" s="0" t="s">
        <v>2578</v>
      </c>
      <c r="B1377" s="0" t="s">
        <v>2562</v>
      </c>
      <c r="C1377" s="5">
        <f>=HYPERLINK("https://nusmods.com/modules/GESS1029#timetable","Timetable")</f>
      </c>
      <c r="D1377" s="5"/>
      <c r="E1377" s="5">
        <f>=HYPERLINK("https://luminus.nus.edu.sg/modules/f7489a54-3c59-4c67-8e3c-82fac4762293","LumiNUS course site")</f>
      </c>
      <c r="F1377" s="0" t="s">
        <v>73</v>
      </c>
      <c r="G1377" s="0" t="s">
        <v>1514</v>
      </c>
      <c r="H1377" s="3">
        <v>100</v>
      </c>
    </row>
    <row r="1378">
      <c r="A1378" s="0" t="s">
        <v>2579</v>
      </c>
      <c r="B1378" s="0" t="s">
        <v>2560</v>
      </c>
      <c r="C1378" s="5">
        <f>=HYPERLINK("https://nusmods.com/modules/GESS1032#timetable","Timetable")</f>
      </c>
      <c r="D1378" s="5"/>
      <c r="E1378" s="5">
        <f>=HYPERLINK("https://luminus.nus.edu.sg/modules/2a86b7ad-4a84-4abd-ae6c-0ef2482241f3","LumiNUS course site")</f>
      </c>
      <c r="F1378" s="0" t="s">
        <v>73</v>
      </c>
      <c r="G1378" s="0" t="s">
        <v>952</v>
      </c>
      <c r="H1378" s="3">
        <v>28</v>
      </c>
    </row>
    <row r="1379">
      <c r="A1379" s="0" t="s">
        <v>2580</v>
      </c>
      <c r="B1379" s="0" t="s">
        <v>2581</v>
      </c>
      <c r="C1379" s="5">
        <f>=HYPERLINK("https://nusmods.com/modules/GESS1036#timetable","Timetable")</f>
      </c>
      <c r="D1379" s="5">
        <f>=HYPERLINK("https://canvas.nus.edu.sg/courses/26592","Canvas course site")</f>
      </c>
      <c r="E1379" s="5"/>
      <c r="F1379" s="0" t="s">
        <v>28</v>
      </c>
      <c r="G1379" s="0" t="s">
        <v>225</v>
      </c>
      <c r="H1379" s="3">
        <v>89</v>
      </c>
    </row>
    <row r="1380">
      <c r="A1380" s="0" t="s">
        <v>2582</v>
      </c>
      <c r="B1380" s="0" t="s">
        <v>2583</v>
      </c>
      <c r="C1380" s="5">
        <f>=HYPERLINK("https://nusmods.com/modules/GESS1037#timetable","Timetable")</f>
      </c>
      <c r="D1380" s="5"/>
      <c r="E1380" s="5">
        <f>=HYPERLINK("https://luminus.nus.edu.sg/modules/e5d7f696-79f3-4a82-b574-6d6f5020b525","LumiNUS course site")</f>
      </c>
      <c r="F1380" s="0" t="s">
        <v>73</v>
      </c>
      <c r="G1380" s="0" t="s">
        <v>81</v>
      </c>
      <c r="H1380" s="3">
        <v>154</v>
      </c>
    </row>
    <row r="1381">
      <c r="A1381" s="0" t="s">
        <v>2584</v>
      </c>
      <c r="B1381" s="0" t="s">
        <v>2585</v>
      </c>
      <c r="C1381" s="5">
        <f>=HYPERLINK("https://nusmods.com/modules/GET1008#timetable","Timetable")</f>
      </c>
      <c r="D1381" s="5"/>
      <c r="E1381" s="5">
        <f>=HYPERLINK("https://luminus.nus.edu.sg/modules/edf50bd4-df4a-4678-945b-e8f1a1d43131","LumiNUS course site")</f>
      </c>
      <c r="F1381" s="0" t="s">
        <v>73</v>
      </c>
      <c r="G1381" s="0" t="s">
        <v>74</v>
      </c>
      <c r="H1381" s="3">
        <v>58</v>
      </c>
    </row>
    <row r="1382">
      <c r="A1382" s="0" t="s">
        <v>2586</v>
      </c>
      <c r="B1382" s="0" t="s">
        <v>2481</v>
      </c>
      <c r="C1382" s="5">
        <f>=HYPERLINK("https://nusmods.com/modules/GET1016#timetable","Timetable")</f>
      </c>
      <c r="D1382" s="5"/>
      <c r="E1382" s="5">
        <f>=HYPERLINK("https://luminus.nus.edu.sg/modules/1564a411-ab00-43d0-a7eb-b18e372b8527","LumiNUS course site")</f>
      </c>
      <c r="F1382" s="0" t="s">
        <v>73</v>
      </c>
      <c r="G1382" s="0" t="s">
        <v>775</v>
      </c>
      <c r="H1382" s="3">
        <v>99</v>
      </c>
    </row>
    <row r="1383">
      <c r="A1383" s="0" t="s">
        <v>2587</v>
      </c>
      <c r="B1383" s="0" t="s">
        <v>2588</v>
      </c>
      <c r="C1383" s="5">
        <f>=HYPERLINK("https://nusmods.com/modules/GET1020#timetable","Timetable")</f>
      </c>
      <c r="D1383" s="5"/>
      <c r="E1383" s="5">
        <f>=HYPERLINK("https://luminus.nus.edu.sg/modules/9b0e943c-f72b-4705-a5f5-77ba05b4c061","LumiNUS course site")</f>
      </c>
      <c r="F1383" s="0" t="s">
        <v>266</v>
      </c>
      <c r="G1383" s="0" t="s">
        <v>267</v>
      </c>
      <c r="H1383" s="3">
        <v>187</v>
      </c>
    </row>
    <row r="1384">
      <c r="A1384" s="0" t="s">
        <v>2589</v>
      </c>
      <c r="B1384" s="0" t="s">
        <v>2590</v>
      </c>
      <c r="C1384" s="5">
        <f>=HYPERLINK("https://nusmods.com/modules/GET1025#timetable","Timetable")</f>
      </c>
      <c r="D1384" s="5"/>
      <c r="E1384" s="5">
        <f>=HYPERLINK("https://luminus.nus.edu.sg/modules/003c2ce9-5aec-437b-83b1-e6871a2aec77","LumiNUS course site")</f>
      </c>
      <c r="F1384" s="0" t="s">
        <v>73</v>
      </c>
      <c r="G1384" s="0" t="s">
        <v>1514</v>
      </c>
      <c r="H1384" s="3">
        <v>65</v>
      </c>
    </row>
    <row r="1385">
      <c r="A1385" s="0" t="s">
        <v>2591</v>
      </c>
      <c r="B1385" s="0" t="s">
        <v>2592</v>
      </c>
      <c r="C1385" s="5">
        <f>=HYPERLINK("https://nusmods.com/modules/GET1026#timetable","Timetable")</f>
      </c>
      <c r="D1385" s="5">
        <f>=HYPERLINK("https://canvas.nus.edu.sg/courses/24465","Canvas course site")</f>
      </c>
      <c r="E1385" s="5">
        <f>=HYPERLINK("https://luminus.nus.edu.sg/modules/1d8814a4-f456-46ab-8812-1bd5b39d8e7a","LumiNUS course site")</f>
      </c>
      <c r="F1385" s="0" t="s">
        <v>73</v>
      </c>
      <c r="G1385" s="0" t="s">
        <v>1514</v>
      </c>
      <c r="H1385" s="3">
        <v>87</v>
      </c>
    </row>
    <row r="1386">
      <c r="A1386" s="0" t="s">
        <v>2593</v>
      </c>
      <c r="B1386" s="0" t="s">
        <v>2594</v>
      </c>
      <c r="C1386" s="5">
        <f>=HYPERLINK("https://nusmods.com/modules/GET1028#timetable","Timetable")</f>
      </c>
      <c r="D1386" s="5"/>
      <c r="E1386" s="5">
        <f>=HYPERLINK("https://luminus.nus.edu.sg/modules/15ce509e-a2c1-4cc2-9324-4abf1e4abc27","LumiNUS course site")</f>
      </c>
      <c r="F1386" s="0" t="s">
        <v>73</v>
      </c>
      <c r="G1386" s="0" t="s">
        <v>1514</v>
      </c>
      <c r="H1386" s="3">
        <v>46</v>
      </c>
    </row>
    <row r="1387">
      <c r="A1387" s="0" t="s">
        <v>2595</v>
      </c>
      <c r="B1387" s="0" t="s">
        <v>2596</v>
      </c>
      <c r="C1387" s="5">
        <f>=HYPERLINK("https://nusmods.com/modules/GET1029#timetable","Timetable")</f>
      </c>
      <c r="D1387" s="5"/>
      <c r="E1387" s="5">
        <f>=HYPERLINK("https://luminus.nus.edu.sg/modules/64ede2e7-e628-42a9-b92f-657d1252794e","LumiNUS course site")</f>
      </c>
      <c r="F1387" s="0" t="s">
        <v>73</v>
      </c>
      <c r="G1387" s="0" t="s">
        <v>1514</v>
      </c>
      <c r="H1387" s="3">
        <v>180</v>
      </c>
    </row>
    <row r="1388">
      <c r="A1388" s="0" t="s">
        <v>2597</v>
      </c>
      <c r="B1388" s="0" t="s">
        <v>2507</v>
      </c>
      <c r="C1388" s="5">
        <f>=HYPERLINK("https://nusmods.com/modules/GET1030#timetable","Timetable")</f>
      </c>
      <c r="D1388" s="5"/>
      <c r="E1388" s="5">
        <f>=HYPERLINK("https://luminus.nus.edu.sg/modules/7334affb-2d14-4903-864f-a1410b21f50a","LumiNUS course site")</f>
      </c>
      <c r="F1388" s="0" t="s">
        <v>73</v>
      </c>
      <c r="G1388" s="0" t="s">
        <v>2042</v>
      </c>
      <c r="H1388" s="3">
        <v>62</v>
      </c>
    </row>
    <row r="1389">
      <c r="A1389" s="0" t="s">
        <v>2598</v>
      </c>
      <c r="B1389" s="0" t="s">
        <v>2503</v>
      </c>
      <c r="C1389" s="5">
        <f>=HYPERLINK("https://nusmods.com/modules/GET1031#timetable","Timetable")</f>
      </c>
      <c r="D1389" s="5"/>
      <c r="E1389" s="5">
        <f>=HYPERLINK("https://luminus.nus.edu.sg/modules/6d0d7b24-95ad-4d18-801e-4ccb8257c42d","LumiNUS course site")</f>
      </c>
      <c r="F1389" s="0" t="s">
        <v>724</v>
      </c>
      <c r="G1389" s="0" t="s">
        <v>762</v>
      </c>
      <c r="H1389" s="3">
        <v>108</v>
      </c>
    </row>
    <row r="1390">
      <c r="A1390" s="0" t="s">
        <v>2599</v>
      </c>
      <c r="B1390" s="0" t="s">
        <v>2600</v>
      </c>
      <c r="C1390" s="5">
        <f>=HYPERLINK("https://nusmods.com/modules/GET1044#timetable","Timetable")</f>
      </c>
      <c r="D1390" s="5"/>
      <c r="E1390" s="5">
        <f>=HYPERLINK("https://luminus.nus.edu.sg/modules/8e03f07d-4ddb-4162-9240-0cfb6bb855ee","LumiNUS course site")</f>
      </c>
      <c r="F1390" s="0" t="s">
        <v>73</v>
      </c>
      <c r="G1390" s="0" t="s">
        <v>2042</v>
      </c>
      <c r="H1390" s="3">
        <v>54</v>
      </c>
    </row>
    <row r="1391">
      <c r="A1391" s="0" t="s">
        <v>2601</v>
      </c>
      <c r="B1391" s="0" t="s">
        <v>2602</v>
      </c>
      <c r="C1391" s="5">
        <f>=HYPERLINK("https://nusmods.com/modules/GET1046#timetable","Timetable")</f>
      </c>
      <c r="D1391" s="5"/>
      <c r="E1391" s="5">
        <f>=HYPERLINK("https://luminus.nus.edu.sg/modules/704ef202-f570-49fe-9f5a-fa93609d1646","LumiNUS course site")</f>
      </c>
      <c r="F1391" s="0" t="s">
        <v>73</v>
      </c>
      <c r="G1391" s="0" t="s">
        <v>952</v>
      </c>
      <c r="H1391" s="3">
        <v>45</v>
      </c>
    </row>
    <row r="1392">
      <c r="A1392" s="0" t="s">
        <v>2603</v>
      </c>
      <c r="B1392" s="0" t="s">
        <v>2505</v>
      </c>
      <c r="C1392" s="5">
        <f>=HYPERLINK("https://nusmods.com/modules/GET1050#timetable","Timetable")</f>
      </c>
      <c r="D1392" s="5"/>
      <c r="E1392" s="5">
        <f>=HYPERLINK("https://luminus.nus.edu.sg/modules/c83a507b-b25b-4250-9f17-a45c7e48418f","LumiNUS course site")</f>
      </c>
      <c r="F1392" s="0" t="s">
        <v>73</v>
      </c>
      <c r="G1392" s="0" t="s">
        <v>1514</v>
      </c>
      <c r="H1392" s="3">
        <v>20</v>
      </c>
    </row>
    <row r="1393">
      <c r="A1393" s="0" t="s">
        <v>2604</v>
      </c>
      <c r="B1393" s="0" t="s">
        <v>2487</v>
      </c>
      <c r="C1393" s="5">
        <f>=HYPERLINK("https://nusmods.com/modules/GEX1000#timetable","Timetable")</f>
      </c>
      <c r="D1393" s="5"/>
      <c r="E1393" s="5">
        <f>=HYPERLINK("https://luminus.nus.edu.sg/modules/21d8c175-3b3f-4eea-9a9a-99a90915c7fa","LumiNUS course site")</f>
      </c>
      <c r="F1393" s="0" t="s">
        <v>73</v>
      </c>
      <c r="G1393" s="0" t="s">
        <v>2488</v>
      </c>
      <c r="H1393" s="3">
        <v>65</v>
      </c>
    </row>
    <row r="1394">
      <c r="A1394" s="0" t="s">
        <v>2605</v>
      </c>
      <c r="B1394" s="0" t="s">
        <v>2585</v>
      </c>
      <c r="C1394" s="5">
        <f>=HYPERLINK("https://nusmods.com/modules/GEX1005#timetable","Timetable")</f>
      </c>
      <c r="D1394" s="5"/>
      <c r="E1394" s="5">
        <f>=HYPERLINK("https://luminus.nus.edu.sg/modules/edf50bd4-df4a-4678-945b-e8f1a1d43131","LumiNUS course site")</f>
      </c>
      <c r="F1394" s="0" t="s">
        <v>73</v>
      </c>
      <c r="G1394" s="0" t="s">
        <v>74</v>
      </c>
      <c r="H1394" s="3">
        <v>92</v>
      </c>
    </row>
    <row r="1395">
      <c r="A1395" s="0" t="s">
        <v>2606</v>
      </c>
      <c r="B1395" s="0" t="s">
        <v>2588</v>
      </c>
      <c r="C1395" s="5">
        <f>=HYPERLINK("https://nusmods.com/modules/GEX1007#timetable","Timetable")</f>
      </c>
      <c r="D1395" s="5"/>
      <c r="E1395" s="5">
        <f>=HYPERLINK("https://luminus.nus.edu.sg/modules/9b0e943c-f72b-4705-a5f5-77ba05b4c061","LumiNUS course site")</f>
      </c>
      <c r="F1395" s="0" t="s">
        <v>266</v>
      </c>
      <c r="G1395" s="0" t="s">
        <v>267</v>
      </c>
      <c r="H1395" s="3">
        <v>169</v>
      </c>
    </row>
    <row r="1396">
      <c r="A1396" s="0" t="s">
        <v>2607</v>
      </c>
      <c r="B1396" s="0" t="s">
        <v>2590</v>
      </c>
      <c r="C1396" s="5">
        <f>=HYPERLINK("https://nusmods.com/modules/GEX1011#timetable","Timetable")</f>
      </c>
      <c r="D1396" s="5"/>
      <c r="E1396" s="5">
        <f>=HYPERLINK("https://luminus.nus.edu.sg/modules/003c2ce9-5aec-437b-83b1-e6871a2aec77","LumiNUS course site")</f>
      </c>
      <c r="F1396" s="0" t="s">
        <v>73</v>
      </c>
      <c r="G1396" s="0" t="s">
        <v>1514</v>
      </c>
      <c r="H1396" s="3">
        <v>53</v>
      </c>
    </row>
    <row r="1397">
      <c r="A1397" s="0" t="s">
        <v>2608</v>
      </c>
      <c r="B1397" s="0" t="s">
        <v>2592</v>
      </c>
      <c r="C1397" s="5">
        <f>=HYPERLINK("https://nusmods.com/modules/GEX1012#timetable","Timetable")</f>
      </c>
      <c r="D1397" s="5">
        <f>=HYPERLINK("https://canvas.nus.edu.sg/courses/24465","Canvas course site")</f>
      </c>
      <c r="E1397" s="5">
        <f>=HYPERLINK("https://luminus.nus.edu.sg/modules/1d8814a4-f456-46ab-8812-1bd5b39d8e7a","LumiNUS course site")</f>
      </c>
      <c r="F1397" s="0" t="s">
        <v>73</v>
      </c>
      <c r="G1397" s="0" t="s">
        <v>1514</v>
      </c>
      <c r="H1397" s="3">
        <v>107</v>
      </c>
    </row>
    <row r="1398">
      <c r="A1398" s="0" t="s">
        <v>2609</v>
      </c>
      <c r="B1398" s="0" t="s">
        <v>2594</v>
      </c>
      <c r="C1398" s="5">
        <f>=HYPERLINK("https://nusmods.com/modules/GEX1014#timetable","Timetable")</f>
      </c>
      <c r="D1398" s="5"/>
      <c r="E1398" s="5">
        <f>=HYPERLINK("https://luminus.nus.edu.sg/modules/15ce509e-a2c1-4cc2-9324-4abf1e4abc27","LumiNUS course site")</f>
      </c>
      <c r="F1398" s="0" t="s">
        <v>73</v>
      </c>
      <c r="G1398" s="0" t="s">
        <v>1514</v>
      </c>
      <c r="H1398" s="3">
        <v>47</v>
      </c>
    </row>
    <row r="1399">
      <c r="A1399" s="0" t="s">
        <v>2610</v>
      </c>
      <c r="B1399" s="0" t="s">
        <v>2596</v>
      </c>
      <c r="C1399" s="5">
        <f>=HYPERLINK("https://nusmods.com/modules/GEX1015#timetable","Timetable")</f>
      </c>
      <c r="D1399" s="5"/>
      <c r="E1399" s="5">
        <f>=HYPERLINK("https://luminus.nus.edu.sg/modules/64ede2e7-e628-42a9-b92f-657d1252794e","LumiNUS course site")</f>
      </c>
      <c r="F1399" s="0" t="s">
        <v>73</v>
      </c>
      <c r="G1399" s="0" t="s">
        <v>1514</v>
      </c>
      <c r="H1399" s="3">
        <v>213</v>
      </c>
    </row>
    <row r="1400">
      <c r="A1400" s="0" t="s">
        <v>2611</v>
      </c>
      <c r="B1400" s="0" t="s">
        <v>2602</v>
      </c>
      <c r="C1400" s="5">
        <f>=HYPERLINK("https://nusmods.com/modules/GEX1026#timetable","Timetable")</f>
      </c>
      <c r="D1400" s="5"/>
      <c r="E1400" s="5">
        <f>=HYPERLINK("https://luminus.nus.edu.sg/modules/704ef202-f570-49fe-9f5a-fa93609d1646","LumiNUS course site")</f>
      </c>
      <c r="F1400" s="0" t="s">
        <v>73</v>
      </c>
      <c r="G1400" s="0" t="s">
        <v>952</v>
      </c>
      <c r="H1400" s="3">
        <v>88</v>
      </c>
    </row>
    <row r="1401">
      <c r="A1401" s="0" t="s">
        <v>2612</v>
      </c>
      <c r="B1401" s="0" t="s">
        <v>2600</v>
      </c>
      <c r="C1401" s="5">
        <f>=HYPERLINK("https://nusmods.com/modules/GEX1031#timetable","Timetable")</f>
      </c>
      <c r="D1401" s="5"/>
      <c r="E1401" s="5">
        <f>=HYPERLINK("https://luminus.nus.edu.sg/modules/8e03f07d-4ddb-4162-9240-0cfb6bb855ee","LumiNUS course site")</f>
      </c>
      <c r="F1401" s="0" t="s">
        <v>73</v>
      </c>
      <c r="G1401" s="0" t="s">
        <v>2042</v>
      </c>
      <c r="H1401" s="3">
        <v>38</v>
      </c>
    </row>
    <row r="1402">
      <c r="A1402" s="0" t="s">
        <v>2613</v>
      </c>
      <c r="B1402" s="0" t="s">
        <v>2614</v>
      </c>
      <c r="C1402" s="5">
        <f>=HYPERLINK("https://nusmods.com/modules/GL1101E#timetable","Timetable")</f>
      </c>
      <c r="D1402" s="5">
        <f>=HYPERLINK("https://canvas.nus.edu.sg/courses/24491","Canvas course site")</f>
      </c>
      <c r="E1402" s="5">
        <f>=HYPERLINK("https://luminus.nus.edu.sg/modules/add25ba6-317e-4988-9707-292c0fae807e","LumiNUS course site")</f>
      </c>
      <c r="F1402" s="0" t="s">
        <v>73</v>
      </c>
      <c r="G1402" s="0" t="s">
        <v>2554</v>
      </c>
      <c r="H1402" s="3">
        <v>91</v>
      </c>
    </row>
    <row r="1403">
      <c r="A1403" s="0" t="s">
        <v>2615</v>
      </c>
      <c r="B1403" s="0" t="s">
        <v>2616</v>
      </c>
      <c r="C1403" s="5">
        <f>=HYPERLINK("https://nusmods.com/modules/GL2101#timetable","Timetable")</f>
      </c>
      <c r="D1403" s="5">
        <f>=HYPERLINK("https://canvas.nus.edu.sg/courses/24496","Canvas course site")</f>
      </c>
      <c r="E1403" s="5">
        <f>=HYPERLINK("https://luminus.nus.edu.sg/modules/36dadee5-0b1c-43bc-a336-c92c9e71d317","LumiNUS course site")</f>
      </c>
      <c r="F1403" s="0" t="s">
        <v>73</v>
      </c>
      <c r="G1403" s="0" t="s">
        <v>2554</v>
      </c>
      <c r="H1403" s="3">
        <v>37</v>
      </c>
    </row>
    <row r="1404">
      <c r="A1404" s="0" t="s">
        <v>2617</v>
      </c>
      <c r="B1404" s="0" t="s">
        <v>2618</v>
      </c>
      <c r="C1404" s="5">
        <f>=HYPERLINK("https://nusmods.com/modules/GL2102#timetable","Timetable")</f>
      </c>
      <c r="D1404" s="5"/>
      <c r="E1404" s="5">
        <f>=HYPERLINK("https://luminus.nus.edu.sg/modules/1fe4544a-c959-4e7f-ba6c-05f7e742d670","LumiNUS course site")</f>
      </c>
      <c r="F1404" s="0" t="s">
        <v>73</v>
      </c>
      <c r="G1404" s="0" t="s">
        <v>2554</v>
      </c>
      <c r="H1404" s="3">
        <v>33</v>
      </c>
    </row>
    <row r="1405">
      <c r="A1405" s="0" t="s">
        <v>2619</v>
      </c>
      <c r="B1405" s="0" t="s">
        <v>2620</v>
      </c>
      <c r="C1405" s="5">
        <f>=HYPERLINK("https://nusmods.com/modules/GL2104#timetable","Timetable")</f>
      </c>
      <c r="D1405" s="5"/>
      <c r="E1405" s="5">
        <f>=HYPERLINK("https://luminus.nus.edu.sg/modules/92616fd9-1b4e-4c96-a701-ceb781dd8971","LumiNUS course site")</f>
      </c>
      <c r="F1405" s="0" t="s">
        <v>73</v>
      </c>
      <c r="G1405" s="0" t="s">
        <v>2554</v>
      </c>
      <c r="H1405" s="3">
        <v>10</v>
      </c>
    </row>
    <row r="1406">
      <c r="A1406" s="0" t="s">
        <v>2621</v>
      </c>
      <c r="B1406" s="0" t="s">
        <v>2622</v>
      </c>
      <c r="C1406" s="5">
        <f>=HYPERLINK("https://nusmods.com/modules/GL3201#timetable","Timetable")</f>
      </c>
      <c r="D1406" s="5">
        <f>=HYPERLINK("https://canvas.nus.edu.sg/courses/24510","Canvas course site")</f>
      </c>
      <c r="E1406" s="5">
        <f>=HYPERLINK("https://luminus.nus.edu.sg/modules/592c269e-85b5-4f3e-bb8c-417e8f7a6f0c","LumiNUS course site")</f>
      </c>
      <c r="F1406" s="0" t="s">
        <v>73</v>
      </c>
      <c r="G1406" s="0" t="s">
        <v>2554</v>
      </c>
      <c r="H1406" s="3">
        <v>21</v>
      </c>
    </row>
    <row r="1407">
      <c r="A1407" s="0" t="s">
        <v>2623</v>
      </c>
      <c r="B1407" s="0" t="s">
        <v>2624</v>
      </c>
      <c r="C1407" s="5">
        <f>=HYPERLINK("https://nusmods.com/modules/GL3550#timetable","Timetable")</f>
      </c>
      <c r="D1407" s="5"/>
      <c r="E1407" s="5"/>
      <c r="F1407" s="0" t="s">
        <v>73</v>
      </c>
      <c r="G1407" s="0" t="s">
        <v>2554</v>
      </c>
      <c r="H1407" s="3">
        <v>0</v>
      </c>
    </row>
    <row r="1408">
      <c r="A1408" s="0" t="s">
        <v>2625</v>
      </c>
      <c r="B1408" s="0" t="s">
        <v>2626</v>
      </c>
      <c r="C1408" s="5">
        <f>=HYPERLINK("https://nusmods.com/modules/GL3551#timetable","Timetable")</f>
      </c>
      <c r="D1408" s="5"/>
      <c r="E1408" s="5"/>
      <c r="F1408" s="0" t="s">
        <v>73</v>
      </c>
      <c r="G1408" s="0" t="s">
        <v>2554</v>
      </c>
      <c r="H1408" s="3">
        <v>1</v>
      </c>
    </row>
    <row r="1409">
      <c r="A1409" s="0" t="s">
        <v>2627</v>
      </c>
      <c r="B1409" s="0" t="s">
        <v>2628</v>
      </c>
      <c r="C1409" s="5">
        <f>=HYPERLINK("https://nusmods.com/modules/GL4101#timetable","Timetable")</f>
      </c>
      <c r="D1409" s="5">
        <f>=HYPERLINK("https://canvas.nus.edu.sg/courses/24525","Canvas course site")</f>
      </c>
      <c r="E1409" s="5">
        <f>=HYPERLINK("https://luminus.nus.edu.sg/modules/5d6d75a7-de08-46a4-9d82-2f7887f84a3a","LumiNUS course site")</f>
      </c>
      <c r="F1409" s="0" t="s">
        <v>73</v>
      </c>
      <c r="G1409" s="0" t="s">
        <v>2554</v>
      </c>
      <c r="H1409" s="3">
        <v>24</v>
      </c>
    </row>
    <row r="1410">
      <c r="A1410" s="0" t="s">
        <v>2629</v>
      </c>
      <c r="B1410" s="0" t="s">
        <v>980</v>
      </c>
      <c r="C1410" s="5">
        <f>=HYPERLINK("https://nusmods.com/modules/GL4401#timetable","Timetable")</f>
      </c>
      <c r="D1410" s="5"/>
      <c r="E1410" s="5">
        <f>=HYPERLINK("https://luminus.nus.edu.sg/modules/1eb953fc-8c95-4fe4-87a1-889e9501c38c","LumiNUS course site")</f>
      </c>
      <c r="F1410" s="0" t="s">
        <v>73</v>
      </c>
      <c r="G1410" s="0" t="s">
        <v>2554</v>
      </c>
      <c r="H1410" s="3">
        <v>1</v>
      </c>
    </row>
    <row r="1411">
      <c r="A1411" s="0" t="s">
        <v>2630</v>
      </c>
      <c r="B1411" s="0" t="s">
        <v>602</v>
      </c>
      <c r="C1411" s="5">
        <f>=HYPERLINK("https://nusmods.com/modules/GL4660#timetable","Timetable")</f>
      </c>
      <c r="D1411" s="5"/>
      <c r="E1411" s="5"/>
      <c r="F1411" s="0" t="s">
        <v>73</v>
      </c>
      <c r="G1411" s="0" t="s">
        <v>2554</v>
      </c>
      <c r="H1411" s="3">
        <v>0</v>
      </c>
    </row>
    <row r="1412">
      <c r="A1412" s="0" t="s">
        <v>2631</v>
      </c>
      <c r="B1412" s="0" t="s">
        <v>2632</v>
      </c>
      <c r="C1412" s="5">
        <f>=HYPERLINK("https://nusmods.com/modules/GL4880A#timetable","Timetable")</f>
      </c>
      <c r="D1412" s="5">
        <f>=HYPERLINK("https://canvas.nus.edu.sg/courses/24539","Canvas course site")</f>
      </c>
      <c r="E1412" s="5">
        <f>=HYPERLINK("https://luminus.nus.edu.sg/modules/7fa8ce0a-d827-4931-8395-c8b1d03a2f41","LumiNUS course site")</f>
      </c>
      <c r="F1412" s="0" t="s">
        <v>73</v>
      </c>
      <c r="G1412" s="0" t="s">
        <v>2554</v>
      </c>
      <c r="H1412" s="3">
        <v>6</v>
      </c>
    </row>
    <row r="1413">
      <c r="A1413" s="0" t="s">
        <v>2633</v>
      </c>
      <c r="B1413" s="0" t="s">
        <v>2634</v>
      </c>
      <c r="C1413" s="5">
        <f>=HYPERLINK("https://nusmods.com/modules/GL4881A#timetable","Timetable")</f>
      </c>
      <c r="D1413" s="5">
        <f>=HYPERLINK("https://canvas.nus.edu.sg/courses/24544","Canvas course site")</f>
      </c>
      <c r="E1413" s="5">
        <f>=HYPERLINK("https://luminus.nus.edu.sg/modules/4a166434-15ee-47f1-9a82-487a6122efc4","LumiNUS course site")</f>
      </c>
      <c r="F1413" s="0" t="s">
        <v>73</v>
      </c>
      <c r="G1413" s="0" t="s">
        <v>2554</v>
      </c>
      <c r="H1413" s="3">
        <v>23</v>
      </c>
    </row>
    <row r="1414">
      <c r="A1414" s="0" t="s">
        <v>2635</v>
      </c>
      <c r="B1414" s="0" t="s">
        <v>2636</v>
      </c>
      <c r="C1414" s="5">
        <f>=HYPERLINK("https://nusmods.com/modules/GL4882B#timetable","Timetable")</f>
      </c>
      <c r="D1414" s="5">
        <f>=HYPERLINK("https://canvas.nus.edu.sg/courses/24550","Canvas course site")</f>
      </c>
      <c r="E1414" s="5">
        <f>=HYPERLINK("https://luminus.nus.edu.sg/modules/ab2f9d81-3ad2-4e14-9167-cc15d44a746f","LumiNUS course site")</f>
      </c>
      <c r="F1414" s="0" t="s">
        <v>73</v>
      </c>
      <c r="G1414" s="0" t="s">
        <v>2554</v>
      </c>
      <c r="H1414" s="3">
        <v>16</v>
      </c>
    </row>
    <row r="1415">
      <c r="A1415" s="0" t="s">
        <v>2637</v>
      </c>
      <c r="B1415" s="0" t="s">
        <v>2638</v>
      </c>
      <c r="C1415" s="5">
        <f>=HYPERLINK("https://nusmods.com/modules/GL4882D#timetable","Timetable")</f>
      </c>
      <c r="D1415" s="5">
        <f>=HYPERLINK("https://canvas.nus.edu.sg/courses/24553","Canvas course site")</f>
      </c>
      <c r="E1415" s="5">
        <f>=HYPERLINK("https://luminus.nus.edu.sg/modules/8edf7e30-67ed-4a2f-a373-ca201d238a8a","LumiNUS course site")</f>
      </c>
      <c r="F1415" s="0" t="s">
        <v>73</v>
      </c>
      <c r="G1415" s="0" t="s">
        <v>2554</v>
      </c>
      <c r="H1415" s="3">
        <v>39</v>
      </c>
    </row>
    <row r="1416">
      <c r="A1416" s="0" t="s">
        <v>2639</v>
      </c>
      <c r="B1416" s="0" t="s">
        <v>2640</v>
      </c>
      <c r="C1416" s="5">
        <f>=HYPERLINK("https://nusmods.com/modules/GL4883B#timetable","Timetable")</f>
      </c>
      <c r="D1416" s="5">
        <f>=HYPERLINK("https://canvas.nus.edu.sg/courses/24558","Canvas course site")</f>
      </c>
      <c r="E1416" s="5">
        <f>=HYPERLINK("https://luminus.nus.edu.sg/modules/365ffd7d-7dbb-4bdf-a6df-4df596e51dff","LumiNUS course site")</f>
      </c>
      <c r="F1416" s="0" t="s">
        <v>73</v>
      </c>
      <c r="G1416" s="0" t="s">
        <v>2554</v>
      </c>
      <c r="H1416" s="3">
        <v>32</v>
      </c>
    </row>
    <row r="1417">
      <c r="A1417" s="0" t="s">
        <v>2641</v>
      </c>
      <c r="B1417" s="0" t="s">
        <v>2642</v>
      </c>
      <c r="C1417" s="5">
        <f>=HYPERLINK("https://nusmods.com/modules/GL4884A#timetable","Timetable")</f>
      </c>
      <c r="D1417" s="5">
        <f>=HYPERLINK("https://canvas.nus.edu.sg/courses/24563","Canvas course site")</f>
      </c>
      <c r="E1417" s="5">
        <f>=HYPERLINK("https://luminus.nus.edu.sg/modules/870c4042-abf1-4736-a79b-5fd80ff58e10","LumiNUS course site")</f>
      </c>
      <c r="F1417" s="0" t="s">
        <v>73</v>
      </c>
      <c r="G1417" s="0" t="s">
        <v>2554</v>
      </c>
      <c r="H1417" s="3">
        <v>12</v>
      </c>
    </row>
    <row r="1418">
      <c r="A1418" s="0" t="s">
        <v>2643</v>
      </c>
      <c r="B1418" s="0" t="s">
        <v>2644</v>
      </c>
      <c r="C1418" s="5">
        <f>=HYPERLINK("https://nusmods.com/modules/GMS5003#timetable","Timetable")</f>
      </c>
      <c r="D1418" s="5"/>
      <c r="E1418" s="5"/>
      <c r="F1418" s="0" t="s">
        <v>2645</v>
      </c>
      <c r="G1418" s="0" t="s">
        <v>2646</v>
      </c>
      <c r="H1418" s="3">
        <v>66</v>
      </c>
    </row>
    <row r="1419">
      <c r="A1419" s="0" t="s">
        <v>2647</v>
      </c>
      <c r="B1419" s="0" t="s">
        <v>2648</v>
      </c>
      <c r="C1419" s="5">
        <f>=HYPERLINK("https://nusmods.com/modules/GMS5006#timetable","Timetable")</f>
      </c>
      <c r="D1419" s="5"/>
      <c r="E1419" s="5"/>
      <c r="F1419" s="0" t="s">
        <v>2645</v>
      </c>
      <c r="G1419" s="0" t="s">
        <v>2646</v>
      </c>
      <c r="H1419" s="3">
        <v>52</v>
      </c>
    </row>
    <row r="1420">
      <c r="A1420" s="0" t="s">
        <v>2649</v>
      </c>
      <c r="B1420" s="0" t="s">
        <v>2650</v>
      </c>
      <c r="C1420" s="5">
        <f>=HYPERLINK("https://nusmods.com/modules/GMS5011#timetable","Timetable")</f>
      </c>
      <c r="D1420" s="5"/>
      <c r="E1420" s="5"/>
      <c r="F1420" s="0" t="s">
        <v>2645</v>
      </c>
      <c r="G1420" s="0" t="s">
        <v>2646</v>
      </c>
      <c r="H1420" s="3">
        <v>0</v>
      </c>
    </row>
    <row r="1421">
      <c r="A1421" s="0" t="s">
        <v>2651</v>
      </c>
      <c r="B1421" s="0" t="s">
        <v>2652</v>
      </c>
      <c r="C1421" s="5">
        <f>=HYPERLINK("https://nusmods.com/modules/GMS5104#timetable","Timetable")</f>
      </c>
      <c r="D1421" s="5"/>
      <c r="E1421" s="5"/>
      <c r="F1421" s="0" t="s">
        <v>2645</v>
      </c>
      <c r="G1421" s="0" t="s">
        <v>2646</v>
      </c>
      <c r="H1421" s="3">
        <v>0</v>
      </c>
    </row>
    <row r="1422">
      <c r="A1422" s="0" t="s">
        <v>2653</v>
      </c>
      <c r="B1422" s="0" t="s">
        <v>2654</v>
      </c>
      <c r="C1422" s="5">
        <f>=HYPERLINK("https://nusmods.com/modules/GMS5106#timetable","Timetable")</f>
      </c>
      <c r="D1422" s="5"/>
      <c r="E1422" s="5"/>
      <c r="F1422" s="0" t="s">
        <v>2645</v>
      </c>
      <c r="G1422" s="0" t="s">
        <v>2646</v>
      </c>
      <c r="H1422" s="3">
        <v>0</v>
      </c>
    </row>
    <row r="1423">
      <c r="A1423" s="0" t="s">
        <v>2655</v>
      </c>
      <c r="B1423" s="0" t="s">
        <v>2656</v>
      </c>
      <c r="C1423" s="5">
        <f>=HYPERLINK("https://nusmods.com/modules/GMS5107#timetable","Timetable")</f>
      </c>
      <c r="D1423" s="5"/>
      <c r="E1423" s="5"/>
      <c r="F1423" s="0" t="s">
        <v>2645</v>
      </c>
      <c r="G1423" s="0" t="s">
        <v>2646</v>
      </c>
      <c r="H1423" s="3">
        <v>0</v>
      </c>
    </row>
    <row r="1424">
      <c r="A1424" s="0" t="s">
        <v>2657</v>
      </c>
      <c r="B1424" s="0" t="s">
        <v>2658</v>
      </c>
      <c r="C1424" s="5">
        <f>=HYPERLINK("https://nusmods.com/modules/GMS5111#timetable","Timetable")</f>
      </c>
      <c r="D1424" s="5"/>
      <c r="E1424" s="5"/>
      <c r="F1424" s="0" t="s">
        <v>2645</v>
      </c>
      <c r="G1424" s="0" t="s">
        <v>2646</v>
      </c>
      <c r="H1424" s="3">
        <v>0</v>
      </c>
    </row>
    <row r="1425">
      <c r="A1425" s="0" t="s">
        <v>2659</v>
      </c>
      <c r="B1425" s="0" t="s">
        <v>2660</v>
      </c>
      <c r="C1425" s="5">
        <f>=HYPERLINK("https://nusmods.com/modules/GMS5113#timetable","Timetable")</f>
      </c>
      <c r="D1425" s="5"/>
      <c r="E1425" s="5"/>
      <c r="F1425" s="0" t="s">
        <v>2645</v>
      </c>
      <c r="G1425" s="0" t="s">
        <v>2646</v>
      </c>
      <c r="H1425" s="3">
        <v>0</v>
      </c>
    </row>
    <row r="1426">
      <c r="A1426" s="0" t="s">
        <v>2661</v>
      </c>
      <c r="B1426" s="0" t="s">
        <v>2662</v>
      </c>
      <c r="C1426" s="5">
        <f>=HYPERLINK("https://nusmods.com/modules/GMS5115#timetable","Timetable")</f>
      </c>
      <c r="D1426" s="5"/>
      <c r="E1426" s="5"/>
      <c r="F1426" s="0" t="s">
        <v>2645</v>
      </c>
      <c r="G1426" s="0" t="s">
        <v>2646</v>
      </c>
      <c r="H1426" s="3">
        <v>0</v>
      </c>
    </row>
    <row r="1427">
      <c r="A1427" s="0" t="s">
        <v>2663</v>
      </c>
      <c r="B1427" s="0" t="s">
        <v>2664</v>
      </c>
      <c r="C1427" s="5">
        <f>=HYPERLINK("https://nusmods.com/modules/GMS5202#timetable","Timetable")</f>
      </c>
      <c r="D1427" s="5"/>
      <c r="E1427" s="5">
        <f>=HYPERLINK("https://luminus.nus.edu.sg/modules/d1a9334f-57b7-480f-86b7-adad5773b724","LumiNUS course site")</f>
      </c>
      <c r="F1427" s="0" t="s">
        <v>2645</v>
      </c>
      <c r="G1427" s="0" t="s">
        <v>2646</v>
      </c>
      <c r="H1427" s="3">
        <v>23</v>
      </c>
    </row>
    <row r="1428">
      <c r="A1428" s="0" t="s">
        <v>2665</v>
      </c>
      <c r="B1428" s="0" t="s">
        <v>2666</v>
      </c>
      <c r="C1428" s="5">
        <f>=HYPERLINK("https://nusmods.com/modules/GMS5204#timetable","Timetable")</f>
      </c>
      <c r="D1428" s="5"/>
      <c r="E1428" s="5">
        <f>=HYPERLINK("https://luminus.nus.edu.sg/modules/55a8fa74-e81e-4251-af43-f859d8b7eb7a","LumiNUS course site")</f>
      </c>
      <c r="F1428" s="0" t="s">
        <v>2645</v>
      </c>
      <c r="G1428" s="0" t="s">
        <v>2646</v>
      </c>
      <c r="H1428" s="3">
        <v>33</v>
      </c>
    </row>
    <row r="1429">
      <c r="A1429" s="0" t="s">
        <v>2667</v>
      </c>
      <c r="B1429" s="0" t="s">
        <v>2668</v>
      </c>
      <c r="C1429" s="5">
        <f>=HYPERLINK("https://nusmods.com/modules/GMS5301#timetable","Timetable")</f>
      </c>
      <c r="D1429" s="5"/>
      <c r="E1429" s="5"/>
      <c r="F1429" s="0" t="s">
        <v>2645</v>
      </c>
      <c r="G1429" s="0" t="s">
        <v>2646</v>
      </c>
      <c r="H1429" s="3">
        <v>0</v>
      </c>
    </row>
    <row r="1430">
      <c r="A1430" s="0" t="s">
        <v>2669</v>
      </c>
      <c r="B1430" s="0" t="s">
        <v>2670</v>
      </c>
      <c r="C1430" s="5">
        <f>=HYPERLINK("https://nusmods.com/modules/GMS5302#timetable","Timetable")</f>
      </c>
      <c r="D1430" s="5"/>
      <c r="E1430" s="5"/>
      <c r="F1430" s="0" t="s">
        <v>2645</v>
      </c>
      <c r="G1430" s="0" t="s">
        <v>2646</v>
      </c>
      <c r="H1430" s="3">
        <v>0</v>
      </c>
    </row>
    <row r="1431">
      <c r="A1431" s="0" t="s">
        <v>2671</v>
      </c>
      <c r="B1431" s="0" t="s">
        <v>2672</v>
      </c>
      <c r="C1431" s="5">
        <f>=HYPERLINK("https://nusmods.com/modules/GMS5312#timetable","Timetable")</f>
      </c>
      <c r="D1431" s="5"/>
      <c r="E1431" s="5"/>
      <c r="F1431" s="0" t="s">
        <v>2645</v>
      </c>
      <c r="G1431" s="0" t="s">
        <v>2646</v>
      </c>
      <c r="H1431" s="3">
        <v>23</v>
      </c>
    </row>
    <row r="1432">
      <c r="A1432" s="0" t="s">
        <v>2673</v>
      </c>
      <c r="B1432" s="0" t="s">
        <v>2674</v>
      </c>
      <c r="C1432" s="5">
        <f>=HYPERLINK("https://nusmods.com/modules/GMS5313#timetable","Timetable")</f>
      </c>
      <c r="D1432" s="5"/>
      <c r="E1432" s="5"/>
      <c r="F1432" s="0" t="s">
        <v>2645</v>
      </c>
      <c r="G1432" s="0" t="s">
        <v>2646</v>
      </c>
      <c r="H1432" s="3">
        <v>19</v>
      </c>
    </row>
    <row r="1433">
      <c r="A1433" s="0" t="s">
        <v>2675</v>
      </c>
      <c r="B1433" s="0" t="s">
        <v>2676</v>
      </c>
      <c r="C1433" s="5">
        <f>=HYPERLINK("https://nusmods.com/modules/GMS5314#timetable","Timetable")</f>
      </c>
      <c r="D1433" s="5"/>
      <c r="E1433" s="5"/>
      <c r="F1433" s="0" t="s">
        <v>2645</v>
      </c>
      <c r="G1433" s="0" t="s">
        <v>2646</v>
      </c>
      <c r="H1433" s="3">
        <v>19</v>
      </c>
    </row>
    <row r="1434">
      <c r="A1434" s="0" t="s">
        <v>2677</v>
      </c>
      <c r="B1434" s="0" t="s">
        <v>2678</v>
      </c>
      <c r="C1434" s="5">
        <f>=HYPERLINK("https://nusmods.com/modules/GMS5315#timetable","Timetable")</f>
      </c>
      <c r="D1434" s="5"/>
      <c r="E1434" s="5"/>
      <c r="F1434" s="0" t="s">
        <v>2645</v>
      </c>
      <c r="G1434" s="0" t="s">
        <v>2646</v>
      </c>
      <c r="H1434" s="3">
        <v>19</v>
      </c>
    </row>
    <row r="1435">
      <c r="A1435" s="0" t="s">
        <v>2679</v>
      </c>
      <c r="B1435" s="0" t="s">
        <v>2680</v>
      </c>
      <c r="C1435" s="5">
        <f>=HYPERLINK("https://nusmods.com/modules/GMS5501#timetable","Timetable")</f>
      </c>
      <c r="D1435" s="5"/>
      <c r="E1435" s="5">
        <f>=HYPERLINK("https://luminus.nus.edu.sg/modules/fd90002c-adcf-49b4-b640-be0a539bedde","LumiNUS course site")</f>
      </c>
      <c r="F1435" s="0" t="s">
        <v>2645</v>
      </c>
      <c r="G1435" s="0" t="s">
        <v>2646</v>
      </c>
      <c r="H1435" s="3">
        <v>12</v>
      </c>
    </row>
    <row r="1436">
      <c r="A1436" s="0" t="s">
        <v>2681</v>
      </c>
      <c r="B1436" s="0" t="s">
        <v>2682</v>
      </c>
      <c r="C1436" s="5">
        <f>=HYPERLINK("https://nusmods.com/modules/GMS5502#timetable","Timetable")</f>
      </c>
      <c r="D1436" s="5"/>
      <c r="E1436" s="5">
        <f>=HYPERLINK("https://luminus.nus.edu.sg/modules/9034d8cd-7558-4379-9dad-7d13f634a1b9","LumiNUS course site")</f>
      </c>
      <c r="F1436" s="0" t="s">
        <v>2645</v>
      </c>
      <c r="G1436" s="0" t="s">
        <v>2646</v>
      </c>
      <c r="H1436" s="3">
        <v>12</v>
      </c>
    </row>
    <row r="1437">
      <c r="A1437" s="0" t="s">
        <v>2683</v>
      </c>
      <c r="B1437" s="0" t="s">
        <v>2684</v>
      </c>
      <c r="C1437" s="5">
        <f>=HYPERLINK("https://nusmods.com/modules/GMS5503#timetable","Timetable")</f>
      </c>
      <c r="D1437" s="5"/>
      <c r="E1437" s="5">
        <f>=HYPERLINK("https://luminus.nus.edu.sg/modules/f99f7034-6311-45bf-9b9c-5862c5bc1f67","LumiNUS course site")</f>
      </c>
      <c r="F1437" s="0" t="s">
        <v>2645</v>
      </c>
      <c r="G1437" s="0" t="s">
        <v>2646</v>
      </c>
      <c r="H1437" s="3">
        <v>12</v>
      </c>
    </row>
    <row r="1438">
      <c r="A1438" s="0" t="s">
        <v>2685</v>
      </c>
      <c r="B1438" s="0" t="s">
        <v>2686</v>
      </c>
      <c r="C1438" s="5">
        <f>=HYPERLINK("https://nusmods.com/modules/GMS5504#timetable","Timetable")</f>
      </c>
      <c r="D1438" s="5"/>
      <c r="E1438" s="5">
        <f>=HYPERLINK("https://luminus.nus.edu.sg/modules/572e6316-3875-4606-95a0-61a69a8336a1","LumiNUS course site")</f>
      </c>
      <c r="F1438" s="0" t="s">
        <v>2645</v>
      </c>
      <c r="G1438" s="0" t="s">
        <v>2646</v>
      </c>
      <c r="H1438" s="3">
        <v>12</v>
      </c>
    </row>
    <row r="1439">
      <c r="A1439" s="0" t="s">
        <v>2687</v>
      </c>
      <c r="B1439" s="0" t="s">
        <v>2688</v>
      </c>
      <c r="C1439" s="5">
        <f>=HYPERLINK("https://nusmods.com/modules/GMS5803#timetable","Timetable")</f>
      </c>
      <c r="D1439" s="5"/>
      <c r="E1439" s="5"/>
      <c r="F1439" s="0" t="s">
        <v>2645</v>
      </c>
      <c r="G1439" s="0" t="s">
        <v>2646</v>
      </c>
      <c r="H1439" s="3">
        <v>9</v>
      </c>
    </row>
    <row r="1440">
      <c r="A1440" s="0" t="s">
        <v>2689</v>
      </c>
      <c r="B1440" s="0" t="s">
        <v>2690</v>
      </c>
      <c r="C1440" s="5">
        <f>=HYPERLINK("https://nusmods.com/modules/GMS5804#timetable","Timetable")</f>
      </c>
      <c r="D1440" s="5"/>
      <c r="E1440" s="5"/>
      <c r="F1440" s="0" t="s">
        <v>2645</v>
      </c>
      <c r="G1440" s="0" t="s">
        <v>2646</v>
      </c>
      <c r="H1440" s="3">
        <v>9</v>
      </c>
    </row>
    <row r="1441">
      <c r="A1441" s="0" t="s">
        <v>2691</v>
      </c>
      <c r="B1441" s="0" t="s">
        <v>2692</v>
      </c>
      <c r="C1441" s="5">
        <f>=HYPERLINK("https://nusmods.com/modules/GMS6800#timetable","Timetable")</f>
      </c>
      <c r="D1441" s="5"/>
      <c r="E1441" s="5"/>
      <c r="F1441" s="0" t="s">
        <v>2645</v>
      </c>
      <c r="G1441" s="0" t="s">
        <v>2646</v>
      </c>
      <c r="H1441" s="3">
        <v>17</v>
      </c>
    </row>
    <row r="1442">
      <c r="A1442" s="0" t="s">
        <v>2693</v>
      </c>
      <c r="B1442" s="0" t="s">
        <v>2694</v>
      </c>
      <c r="C1442" s="5">
        <f>=HYPERLINK("https://nusmods.com/modules/GMS6801#timetable","Timetable")</f>
      </c>
      <c r="D1442" s="5"/>
      <c r="E1442" s="5">
        <f>=HYPERLINK("https://luminus.nus.edu.sg/modules/e6ed74ec-4c6f-4376-ba78-f12b3dcbcf3f","LumiNUS course site")</f>
      </c>
      <c r="F1442" s="0" t="s">
        <v>2645</v>
      </c>
      <c r="G1442" s="0" t="s">
        <v>2646</v>
      </c>
      <c r="H1442" s="3">
        <v>6</v>
      </c>
    </row>
    <row r="1443">
      <c r="A1443" s="0" t="s">
        <v>2695</v>
      </c>
      <c r="B1443" s="0" t="s">
        <v>2696</v>
      </c>
      <c r="C1443" s="5">
        <f>=HYPERLINK("https://nusmods.com/modules/GMS6804#timetable","Timetable")</f>
      </c>
      <c r="D1443" s="5"/>
      <c r="E1443" s="5"/>
      <c r="F1443" s="0" t="s">
        <v>2645</v>
      </c>
      <c r="G1443" s="0" t="s">
        <v>2646</v>
      </c>
      <c r="H1443" s="3">
        <v>0</v>
      </c>
    </row>
    <row r="1444">
      <c r="A1444" s="0" t="s">
        <v>2697</v>
      </c>
      <c r="B1444" s="0" t="s">
        <v>2698</v>
      </c>
      <c r="C1444" s="5">
        <f>=HYPERLINK("https://nusmods.com/modules/GMS6810#timetable","Timetable")</f>
      </c>
      <c r="D1444" s="5"/>
      <c r="E1444" s="5"/>
      <c r="F1444" s="0" t="s">
        <v>2645</v>
      </c>
      <c r="G1444" s="0" t="s">
        <v>2646</v>
      </c>
      <c r="H1444" s="3">
        <v>23</v>
      </c>
    </row>
    <row r="1445">
      <c r="A1445" s="0" t="s">
        <v>2699</v>
      </c>
      <c r="B1445" s="0" t="s">
        <v>2700</v>
      </c>
      <c r="C1445" s="5">
        <f>=HYPERLINK("https://nusmods.com/modules/GMS6811#timetable","Timetable")</f>
      </c>
      <c r="D1445" s="5"/>
      <c r="E1445" s="5">
        <f>=HYPERLINK("https://luminus.nus.edu.sg/modules/d387c699-553e-470b-ae62-dac4a68ce259","LumiNUS course site")</f>
      </c>
      <c r="F1445" s="0" t="s">
        <v>2645</v>
      </c>
      <c r="G1445" s="0" t="s">
        <v>2646</v>
      </c>
      <c r="H1445" s="3">
        <v>8</v>
      </c>
    </row>
    <row r="1446">
      <c r="A1446" s="0" t="s">
        <v>2701</v>
      </c>
      <c r="B1446" s="0" t="s">
        <v>2702</v>
      </c>
      <c r="C1446" s="5">
        <f>=HYPERLINK("https://nusmods.com/modules/GMS6812#timetable","Timetable")</f>
      </c>
      <c r="D1446" s="5"/>
      <c r="E1446" s="5"/>
      <c r="F1446" s="0" t="s">
        <v>2645</v>
      </c>
      <c r="G1446" s="0" t="s">
        <v>2646</v>
      </c>
      <c r="H1446" s="3">
        <v>7</v>
      </c>
    </row>
    <row r="1447">
      <c r="A1447" s="0" t="s">
        <v>2703</v>
      </c>
      <c r="B1447" s="0" t="s">
        <v>2704</v>
      </c>
      <c r="C1447" s="5">
        <f>=HYPERLINK("https://nusmods.com/modules/GMS6813#timetable","Timetable")</f>
      </c>
      <c r="D1447" s="5"/>
      <c r="E1447" s="5">
        <f>=HYPERLINK("https://luminus.nus.edu.sg/modules/66e099ce-41a7-4aee-8af5-4efbb67a0535","LumiNUS course site")</f>
      </c>
      <c r="F1447" s="0" t="s">
        <v>2645</v>
      </c>
      <c r="G1447" s="0" t="s">
        <v>2646</v>
      </c>
      <c r="H1447" s="3">
        <v>9</v>
      </c>
    </row>
    <row r="1448">
      <c r="A1448" s="0" t="s">
        <v>2705</v>
      </c>
      <c r="B1448" s="0" t="s">
        <v>2706</v>
      </c>
      <c r="C1448" s="5">
        <f>=HYPERLINK("https://nusmods.com/modules/GMS6820#timetable","Timetable")</f>
      </c>
      <c r="D1448" s="5"/>
      <c r="E1448" s="5">
        <f>=HYPERLINK("https://luminus.nus.edu.sg/modules/5996d4c4-1754-4bbc-a3b3-d1119ccc527a","LumiNUS course site")</f>
      </c>
      <c r="F1448" s="0" t="s">
        <v>2645</v>
      </c>
      <c r="G1448" s="0" t="s">
        <v>2646</v>
      </c>
      <c r="H1448" s="3">
        <v>8</v>
      </c>
    </row>
    <row r="1449">
      <c r="A1449" s="0" t="s">
        <v>2707</v>
      </c>
      <c r="B1449" s="0" t="s">
        <v>2708</v>
      </c>
      <c r="C1449" s="5">
        <f>=HYPERLINK("https://nusmods.com/modules/GMS6821#timetable","Timetable")</f>
      </c>
      <c r="D1449" s="5"/>
      <c r="E1449" s="5"/>
      <c r="F1449" s="0" t="s">
        <v>2645</v>
      </c>
      <c r="G1449" s="0" t="s">
        <v>2646</v>
      </c>
      <c r="H1449" s="3">
        <v>7</v>
      </c>
    </row>
    <row r="1450">
      <c r="A1450" s="0" t="s">
        <v>2709</v>
      </c>
      <c r="B1450" s="0" t="s">
        <v>2710</v>
      </c>
      <c r="C1450" s="5">
        <f>=HYPERLINK("https://nusmods.com/modules/GMS6891#timetable","Timetable")</f>
      </c>
      <c r="D1450" s="5"/>
      <c r="E1450" s="5"/>
      <c r="F1450" s="0" t="s">
        <v>2645</v>
      </c>
      <c r="G1450" s="0" t="s">
        <v>2646</v>
      </c>
      <c r="H1450" s="3">
        <v>0</v>
      </c>
    </row>
    <row r="1451">
      <c r="A1451" s="0" t="s">
        <v>2711</v>
      </c>
      <c r="B1451" s="0" t="s">
        <v>2712</v>
      </c>
      <c r="C1451" s="5">
        <f>=HYPERLINK("https://nusmods.com/modules/GMS6892#timetable","Timetable")</f>
      </c>
      <c r="D1451" s="5"/>
      <c r="E1451" s="5"/>
      <c r="F1451" s="0" t="s">
        <v>2645</v>
      </c>
      <c r="G1451" s="0" t="s">
        <v>2646</v>
      </c>
      <c r="H1451" s="3">
        <v>0</v>
      </c>
    </row>
    <row r="1452">
      <c r="A1452" s="0" t="s">
        <v>2713</v>
      </c>
      <c r="B1452" s="0" t="s">
        <v>2714</v>
      </c>
      <c r="C1452" s="5">
        <f>=HYPERLINK("https://nusmods.com/modules/GMS6895#timetable","Timetable")</f>
      </c>
      <c r="D1452" s="5"/>
      <c r="E1452" s="5"/>
      <c r="F1452" s="0" t="s">
        <v>2645</v>
      </c>
      <c r="G1452" s="0" t="s">
        <v>2646</v>
      </c>
      <c r="H1452" s="3">
        <v>1</v>
      </c>
    </row>
    <row r="1453">
      <c r="A1453" s="0" t="s">
        <v>2715</v>
      </c>
      <c r="B1453" s="0" t="s">
        <v>2716</v>
      </c>
      <c r="C1453" s="5">
        <f>=HYPERLINK("https://nusmods.com/modules/GMS6900#timetable","Timetable")</f>
      </c>
      <c r="D1453" s="5"/>
      <c r="E1453" s="5"/>
      <c r="F1453" s="0" t="s">
        <v>2645</v>
      </c>
      <c r="G1453" s="0" t="s">
        <v>2646</v>
      </c>
      <c r="H1453" s="3">
        <v>74</v>
      </c>
    </row>
    <row r="1454">
      <c r="A1454" s="0" t="s">
        <v>2717</v>
      </c>
      <c r="B1454" s="0" t="s">
        <v>2718</v>
      </c>
      <c r="C1454" s="5">
        <f>=HYPERLINK("https://nusmods.com/modules/GMS6901#timetable","Timetable")</f>
      </c>
      <c r="D1454" s="5"/>
      <c r="E1454" s="5">
        <f>=HYPERLINK("https://luminus.nus.edu.sg/modules/9dbf23b0-0c44-43d0-8761-8a86b279b9ab","LumiNUS course site")</f>
      </c>
      <c r="F1454" s="0" t="s">
        <v>2645</v>
      </c>
      <c r="G1454" s="0" t="s">
        <v>2646</v>
      </c>
      <c r="H1454" s="3">
        <v>18</v>
      </c>
    </row>
    <row r="1455">
      <c r="A1455" s="0" t="s">
        <v>2719</v>
      </c>
      <c r="B1455" s="0" t="s">
        <v>2720</v>
      </c>
      <c r="C1455" s="5">
        <f>=HYPERLINK("https://nusmods.com/modules/GMS6902#timetable","Timetable")</f>
      </c>
      <c r="D1455" s="5"/>
      <c r="E1455" s="5"/>
      <c r="F1455" s="0" t="s">
        <v>2645</v>
      </c>
      <c r="G1455" s="0" t="s">
        <v>2646</v>
      </c>
      <c r="H1455" s="3">
        <v>20</v>
      </c>
    </row>
    <row r="1456">
      <c r="A1456" s="0" t="s">
        <v>2721</v>
      </c>
      <c r="B1456" s="0" t="s">
        <v>2722</v>
      </c>
      <c r="C1456" s="5">
        <f>=HYPERLINK("https://nusmods.com/modules/GMS6903#timetable","Timetable")</f>
      </c>
      <c r="D1456" s="5"/>
      <c r="E1456" s="5"/>
      <c r="F1456" s="0" t="s">
        <v>2645</v>
      </c>
      <c r="G1456" s="0" t="s">
        <v>2646</v>
      </c>
      <c r="H1456" s="3">
        <v>20</v>
      </c>
    </row>
    <row r="1457">
      <c r="A1457" s="0" t="s">
        <v>2723</v>
      </c>
      <c r="B1457" s="0" t="s">
        <v>2724</v>
      </c>
      <c r="C1457" s="5">
        <f>=HYPERLINK("https://nusmods.com/modules/GMS6906#timetable","Timetable")</f>
      </c>
      <c r="D1457" s="5"/>
      <c r="E1457" s="5"/>
      <c r="F1457" s="0" t="s">
        <v>2645</v>
      </c>
      <c r="G1457" s="0" t="s">
        <v>2646</v>
      </c>
      <c r="H1457" s="3">
        <v>19</v>
      </c>
    </row>
    <row r="1458">
      <c r="A1458" s="0" t="s">
        <v>2725</v>
      </c>
      <c r="B1458" s="0" t="s">
        <v>2726</v>
      </c>
      <c r="C1458" s="5">
        <f>=HYPERLINK("https://nusmods.com/modules/GMS6907#timetable","Timetable")</f>
      </c>
      <c r="D1458" s="5"/>
      <c r="E1458" s="5"/>
      <c r="F1458" s="0" t="s">
        <v>2645</v>
      </c>
      <c r="G1458" s="0" t="s">
        <v>2646</v>
      </c>
      <c r="H1458" s="3">
        <v>12</v>
      </c>
    </row>
    <row r="1459">
      <c r="A1459" s="0" t="s">
        <v>2727</v>
      </c>
      <c r="B1459" s="0" t="s">
        <v>2728</v>
      </c>
      <c r="C1459" s="5">
        <f>=HYPERLINK("https://nusmods.com/modules/GMS6910#timetable","Timetable")</f>
      </c>
      <c r="D1459" s="5"/>
      <c r="E1459" s="5"/>
      <c r="F1459" s="0" t="s">
        <v>2645</v>
      </c>
      <c r="G1459" s="0" t="s">
        <v>2646</v>
      </c>
      <c r="H1459" s="3">
        <v>0</v>
      </c>
    </row>
    <row r="1460">
      <c r="A1460" s="0" t="s">
        <v>2729</v>
      </c>
      <c r="B1460" s="0" t="s">
        <v>2730</v>
      </c>
      <c r="C1460" s="5">
        <f>=HYPERLINK("https://nusmods.com/modules/GMS6920#timetable","Timetable")</f>
      </c>
      <c r="D1460" s="5"/>
      <c r="E1460" s="5"/>
      <c r="F1460" s="0" t="s">
        <v>2645</v>
      </c>
      <c r="G1460" s="0" t="s">
        <v>2646</v>
      </c>
      <c r="H1460" s="3">
        <v>7</v>
      </c>
    </row>
    <row r="1461">
      <c r="A1461" s="0" t="s">
        <v>2731</v>
      </c>
      <c r="B1461" s="0" t="s">
        <v>2732</v>
      </c>
      <c r="C1461" s="5">
        <f>=HYPERLINK("https://nusmods.com/modules/GMS6921#timetable","Timetable")</f>
      </c>
      <c r="D1461" s="5"/>
      <c r="E1461" s="5"/>
      <c r="F1461" s="0" t="s">
        <v>2645</v>
      </c>
      <c r="G1461" s="0" t="s">
        <v>2646</v>
      </c>
      <c r="H1461" s="3">
        <v>0</v>
      </c>
    </row>
    <row r="1462">
      <c r="A1462" s="0" t="s">
        <v>2733</v>
      </c>
      <c r="B1462" s="0" t="s">
        <v>2734</v>
      </c>
      <c r="C1462" s="5">
        <f>=HYPERLINK("https://nusmods.com/modules/GMS6950#timetable","Timetable")</f>
      </c>
      <c r="D1462" s="5"/>
      <c r="E1462" s="5"/>
      <c r="F1462" s="0" t="s">
        <v>2645</v>
      </c>
      <c r="G1462" s="0" t="s">
        <v>2646</v>
      </c>
      <c r="H1462" s="3">
        <v>0</v>
      </c>
    </row>
    <row r="1463">
      <c r="A1463" s="0" t="s">
        <v>2735</v>
      </c>
      <c r="B1463" s="0" t="s">
        <v>2736</v>
      </c>
      <c r="C1463" s="5">
        <f>=HYPERLINK("https://nusmods.com/modules/GMS6951#timetable","Timetable")</f>
      </c>
      <c r="D1463" s="5"/>
      <c r="E1463" s="5"/>
      <c r="F1463" s="0" t="s">
        <v>2645</v>
      </c>
      <c r="G1463" s="0" t="s">
        <v>2646</v>
      </c>
      <c r="H1463" s="3">
        <v>0</v>
      </c>
    </row>
    <row r="1464">
      <c r="A1464" s="0" t="s">
        <v>2737</v>
      </c>
      <c r="B1464" s="0" t="s">
        <v>2738</v>
      </c>
      <c r="C1464" s="5">
        <f>=HYPERLINK("https://nusmods.com/modules/GMS6961#timetable","Timetable")</f>
      </c>
      <c r="D1464" s="5"/>
      <c r="E1464" s="5">
        <f>=HYPERLINK("https://luminus.nus.edu.sg/modules/19bd2d5a-cce7-42e8-9bf4-f25ece040aa3","LumiNUS course site")</f>
      </c>
      <c r="F1464" s="0" t="s">
        <v>2645</v>
      </c>
      <c r="G1464" s="0" t="s">
        <v>2646</v>
      </c>
      <c r="H1464" s="3">
        <v>10</v>
      </c>
    </row>
    <row r="1465">
      <c r="A1465" s="0" t="s">
        <v>2739</v>
      </c>
      <c r="B1465" s="0" t="s">
        <v>2740</v>
      </c>
      <c r="C1465" s="5">
        <f>=HYPERLINK("https://nusmods.com/modules/GMS6991#timetable","Timetable")</f>
      </c>
      <c r="D1465" s="5"/>
      <c r="E1465" s="5"/>
      <c r="F1465" s="0" t="s">
        <v>2645</v>
      </c>
      <c r="G1465" s="0" t="s">
        <v>2646</v>
      </c>
      <c r="H1465" s="3">
        <v>0</v>
      </c>
    </row>
    <row r="1466">
      <c r="A1466" s="0" t="s">
        <v>2741</v>
      </c>
      <c r="B1466" s="0" t="s">
        <v>2742</v>
      </c>
      <c r="C1466" s="5">
        <f>=HYPERLINK("https://nusmods.com/modules/GMS6992#timetable","Timetable")</f>
      </c>
      <c r="D1466" s="5"/>
      <c r="E1466" s="5"/>
      <c r="F1466" s="0" t="s">
        <v>2645</v>
      </c>
      <c r="G1466" s="0" t="s">
        <v>2646</v>
      </c>
      <c r="H1466" s="3">
        <v>0</v>
      </c>
    </row>
    <row r="1467">
      <c r="A1467" s="0" t="s">
        <v>2743</v>
      </c>
      <c r="B1467" s="0" t="s">
        <v>2744</v>
      </c>
      <c r="C1467" s="5">
        <f>=HYPERLINK("https://nusmods.com/modules/GS5101#timetable","Timetable")</f>
      </c>
      <c r="D1467" s="5"/>
      <c r="E1467" s="5">
        <f>=HYPERLINK("https://luminus.nus.edu.sg/modules/acaca58c-f5d9-4262-8f8f-459c66f5bcbe","LumiNUS course site")</f>
      </c>
      <c r="F1467" s="0" t="s">
        <v>2745</v>
      </c>
      <c r="G1467" s="0" t="s">
        <v>2746</v>
      </c>
      <c r="H1467" s="3">
        <v>19</v>
      </c>
    </row>
    <row r="1468">
      <c r="A1468" s="0" t="s">
        <v>2747</v>
      </c>
      <c r="B1468" s="0" t="s">
        <v>2748</v>
      </c>
      <c r="C1468" s="5">
        <f>=HYPERLINK("https://nusmods.com/modules/GS6001#timetable","Timetable")</f>
      </c>
      <c r="D1468" s="5"/>
      <c r="E1468" s="5">
        <f>=HYPERLINK("https://luminus.nus.edu.sg/modules/c7294b84-ba78-466b-a06e-25971bb92e6e","LumiNUS course site")</f>
      </c>
      <c r="F1468" s="0" t="s">
        <v>2745</v>
      </c>
      <c r="G1468" s="0" t="s">
        <v>2746</v>
      </c>
      <c r="H1468" s="3">
        <v>19</v>
      </c>
    </row>
    <row r="1469">
      <c r="A1469" s="0" t="s">
        <v>2749</v>
      </c>
      <c r="B1469" s="0" t="s">
        <v>2750</v>
      </c>
      <c r="C1469" s="5">
        <f>=HYPERLINK("https://nusmods.com/modules/GS6883A#timetable","Timetable")</f>
      </c>
      <c r="D1469" s="5"/>
      <c r="E1469" s="5"/>
      <c r="F1469" s="0" t="s">
        <v>2745</v>
      </c>
      <c r="G1469" s="0" t="s">
        <v>2746</v>
      </c>
      <c r="H1469" s="3">
        <v>0</v>
      </c>
    </row>
    <row r="1470">
      <c r="A1470" s="0" t="s">
        <v>2751</v>
      </c>
      <c r="B1470" s="0" t="s">
        <v>2752</v>
      </c>
      <c r="C1470" s="5">
        <f>=HYPERLINK("https://nusmods.com/modules/GS6883B#timetable","Timetable")</f>
      </c>
      <c r="D1470" s="5"/>
      <c r="E1470" s="5">
        <f>=HYPERLINK("https://luminus.nus.edu.sg/modules/d8a52988-3b9a-4b12-bbef-4bf4c57f07e4","LumiNUS course site")</f>
      </c>
      <c r="F1470" s="0" t="s">
        <v>2745</v>
      </c>
      <c r="G1470" s="0" t="s">
        <v>2746</v>
      </c>
      <c r="H1470" s="3">
        <v>38</v>
      </c>
    </row>
    <row r="1471">
      <c r="A1471" s="0" t="s">
        <v>2753</v>
      </c>
      <c r="B1471" s="0" t="s">
        <v>2754</v>
      </c>
      <c r="C1471" s="5">
        <f>=HYPERLINK("https://nusmods.com/modules/GS6889B#timetable","Timetable")</f>
      </c>
      <c r="D1471" s="5"/>
      <c r="E1471" s="5"/>
      <c r="F1471" s="0" t="s">
        <v>2745</v>
      </c>
      <c r="G1471" s="0" t="s">
        <v>2746</v>
      </c>
      <c r="H1471" s="3">
        <v>0</v>
      </c>
    </row>
    <row r="1472">
      <c r="A1472" s="0" t="s">
        <v>2755</v>
      </c>
      <c r="B1472" s="0" t="s">
        <v>2756</v>
      </c>
      <c r="C1472" s="5">
        <f>=HYPERLINK("https://nusmods.com/modules/GS6889C#timetable","Timetable")</f>
      </c>
      <c r="D1472" s="5"/>
      <c r="E1472" s="5"/>
      <c r="F1472" s="0" t="s">
        <v>2745</v>
      </c>
      <c r="G1472" s="0" t="s">
        <v>2746</v>
      </c>
      <c r="H1472" s="3">
        <v>0</v>
      </c>
    </row>
    <row r="1473">
      <c r="A1473" s="0" t="s">
        <v>2757</v>
      </c>
      <c r="B1473" s="0" t="s">
        <v>2758</v>
      </c>
      <c r="C1473" s="5">
        <f>=HYPERLINK("https://nusmods.com/modules/HI5101#timetable","Timetable")</f>
      </c>
      <c r="D1473" s="5"/>
      <c r="E1473" s="5">
        <f>=HYPERLINK("https://luminus.nus.edu.sg/modules/645381bd-fb76-425e-bcff-6a0016ad2f74","LumiNUS course site")</f>
      </c>
      <c r="F1473" s="0" t="s">
        <v>90</v>
      </c>
      <c r="G1473" s="0" t="s">
        <v>210</v>
      </c>
      <c r="H1473" s="3">
        <v>33</v>
      </c>
    </row>
    <row r="1474">
      <c r="A1474" s="0" t="s">
        <v>2759</v>
      </c>
      <c r="B1474" s="0" t="s">
        <v>2760</v>
      </c>
      <c r="C1474" s="5">
        <f>=HYPERLINK("https://nusmods.com/modules/HI5102#timetable","Timetable")</f>
      </c>
      <c r="D1474" s="5"/>
      <c r="E1474" s="5">
        <f>=HYPERLINK("https://luminus.nus.edu.sg/modules/774a8af6-cbc3-433c-b6d5-185d79879260","LumiNUS course site")</f>
      </c>
      <c r="F1474" s="0" t="s">
        <v>90</v>
      </c>
      <c r="G1474" s="0" t="s">
        <v>210</v>
      </c>
      <c r="H1474" s="3">
        <v>33</v>
      </c>
    </row>
    <row r="1475">
      <c r="A1475" s="0" t="s">
        <v>2761</v>
      </c>
      <c r="B1475" s="0" t="s">
        <v>2762</v>
      </c>
      <c r="C1475" s="5">
        <f>=HYPERLINK("https://nusmods.com/modules/HI5103#timetable","Timetable")</f>
      </c>
      <c r="D1475" s="5"/>
      <c r="E1475" s="5"/>
      <c r="F1475" s="0" t="s">
        <v>90</v>
      </c>
      <c r="G1475" s="0" t="s">
        <v>210</v>
      </c>
      <c r="H1475" s="3">
        <v>30</v>
      </c>
    </row>
    <row r="1476">
      <c r="A1476" s="0" t="s">
        <v>2763</v>
      </c>
      <c r="B1476" s="0" t="s">
        <v>2764</v>
      </c>
      <c r="C1476" s="5">
        <f>=HYPERLINK("https://nusmods.com/modules/HI5104#timetable","Timetable")</f>
      </c>
      <c r="D1476" s="5"/>
      <c r="E1476" s="5"/>
      <c r="F1476" s="0" t="s">
        <v>90</v>
      </c>
      <c r="G1476" s="0" t="s">
        <v>210</v>
      </c>
      <c r="H1476" s="3">
        <v>31</v>
      </c>
    </row>
    <row r="1477">
      <c r="A1477" s="0" t="s">
        <v>2765</v>
      </c>
      <c r="B1477" s="0" t="s">
        <v>2766</v>
      </c>
      <c r="C1477" s="5">
        <f>=HYPERLINK("https://nusmods.com/modules/HM5102#timetable","Timetable")</f>
      </c>
      <c r="D1477" s="5"/>
      <c r="E1477" s="5"/>
      <c r="F1477" s="0" t="s">
        <v>90</v>
      </c>
      <c r="G1477" s="0" t="s">
        <v>210</v>
      </c>
      <c r="H1477" s="3">
        <v>0</v>
      </c>
    </row>
    <row r="1478">
      <c r="A1478" s="0" t="s">
        <v>2767</v>
      </c>
      <c r="B1478" s="0" t="s">
        <v>2768</v>
      </c>
      <c r="C1478" s="5">
        <f>=HYPERLINK("https://nusmods.com/modules/HM5103#timetable","Timetable")</f>
      </c>
      <c r="D1478" s="5"/>
      <c r="E1478" s="5"/>
      <c r="F1478" s="0" t="s">
        <v>90</v>
      </c>
      <c r="G1478" s="0" t="s">
        <v>210</v>
      </c>
      <c r="H1478" s="3">
        <v>0</v>
      </c>
    </row>
    <row r="1479">
      <c r="A1479" s="0" t="s">
        <v>2769</v>
      </c>
      <c r="B1479" s="0" t="s">
        <v>2770</v>
      </c>
      <c r="C1479" s="5">
        <f>=HYPERLINK("https://nusmods.com/modules/HM5106#timetable","Timetable")</f>
      </c>
      <c r="D1479" s="5"/>
      <c r="E1479" s="5"/>
      <c r="F1479" s="0" t="s">
        <v>90</v>
      </c>
      <c r="G1479" s="0" t="s">
        <v>210</v>
      </c>
      <c r="H1479" s="3">
        <v>0</v>
      </c>
    </row>
    <row r="1480">
      <c r="A1480" s="0" t="s">
        <v>2771</v>
      </c>
      <c r="B1480" s="0" t="s">
        <v>2772</v>
      </c>
      <c r="C1480" s="5">
        <f>=HYPERLINK("https://nusmods.com/modules/HM5107#timetable","Timetable")</f>
      </c>
      <c r="D1480" s="5"/>
      <c r="E1480" s="5"/>
      <c r="F1480" s="0" t="s">
        <v>90</v>
      </c>
      <c r="G1480" s="0" t="s">
        <v>210</v>
      </c>
      <c r="H1480" s="3">
        <v>0</v>
      </c>
    </row>
    <row r="1481">
      <c r="A1481" s="0" t="s">
        <v>2773</v>
      </c>
      <c r="B1481" s="0" t="s">
        <v>2774</v>
      </c>
      <c r="C1481" s="5">
        <f>=HYPERLINK("https://nusmods.com/modules/HS1301#timetable","Timetable")</f>
      </c>
      <c r="D1481" s="5">
        <f>=HYPERLINK("https://canvas.nus.edu.sg/courses/22465","Canvas course site")</f>
      </c>
      <c r="E1481" s="5"/>
      <c r="F1481" s="0" t="s">
        <v>926</v>
      </c>
      <c r="G1481" s="0" t="s">
        <v>1288</v>
      </c>
      <c r="H1481" s="3">
        <v>33</v>
      </c>
    </row>
    <row r="1482">
      <c r="A1482" s="0" t="s">
        <v>2775</v>
      </c>
      <c r="B1482" s="0" t="s">
        <v>2776</v>
      </c>
      <c r="C1482" s="5">
        <f>=HYPERLINK("https://nusmods.com/modules/HS1401A#timetable","Timetable")</f>
      </c>
      <c r="D1482" s="5">
        <f>=HYPERLINK("https://canvas.nus.edu.sg/courses/24842","Canvas course site")</f>
      </c>
      <c r="E1482" s="5">
        <f>=HYPERLINK("https://luminus.nus.edu.sg/modules/cee2a38d-2449-4e13-8e77-0b05aeb5a67e","LumiNUS course site")</f>
      </c>
      <c r="F1482" s="0" t="s">
        <v>73</v>
      </c>
      <c r="G1482" s="0" t="s">
        <v>2223</v>
      </c>
      <c r="H1482" s="3">
        <v>1024</v>
      </c>
    </row>
    <row r="1483">
      <c r="A1483" s="0" t="s">
        <v>2777</v>
      </c>
      <c r="B1483" s="0" t="s">
        <v>2776</v>
      </c>
      <c r="C1483" s="5">
        <f>=HYPERLINK("https://nusmods.com/modules/HS1401S#timetable","Timetable")</f>
      </c>
      <c r="D1483" s="5">
        <f>=HYPERLINK("https://canvas.nus.edu.sg/courses/24847","Canvas course site")</f>
      </c>
      <c r="E1483" s="5"/>
      <c r="F1483" s="0" t="s">
        <v>266</v>
      </c>
      <c r="G1483" s="0" t="s">
        <v>1536</v>
      </c>
      <c r="H1483" s="3">
        <v>1226</v>
      </c>
    </row>
    <row r="1484">
      <c r="A1484" s="0" t="s">
        <v>2778</v>
      </c>
      <c r="B1484" s="0" t="s">
        <v>2779</v>
      </c>
      <c r="C1484" s="5">
        <f>=HYPERLINK("https://nusmods.com/modules/HS1402A#timetable","Timetable")</f>
      </c>
      <c r="D1484" s="5">
        <f>=HYPERLINK("https://canvas.nus.edu.sg/courses/24852","Canvas course site")</f>
      </c>
      <c r="E1484" s="5">
        <f>=HYPERLINK("https://luminus.nus.edu.sg/modules/fe48d868-eed7-437d-9511-0e35d919684e","LumiNUS course site")</f>
      </c>
      <c r="F1484" s="0" t="s">
        <v>73</v>
      </c>
      <c r="G1484" s="0" t="s">
        <v>2223</v>
      </c>
      <c r="H1484" s="3">
        <v>990</v>
      </c>
    </row>
    <row r="1485">
      <c r="A1485" s="0" t="s">
        <v>2780</v>
      </c>
      <c r="B1485" s="0" t="s">
        <v>2779</v>
      </c>
      <c r="C1485" s="5">
        <f>=HYPERLINK("https://nusmods.com/modules/HS1402S#timetable","Timetable")</f>
      </c>
      <c r="D1485" s="5">
        <f>=HYPERLINK("https://canvas.nus.edu.sg/courses/24857","Canvas course site")</f>
      </c>
      <c r="E1485" s="5"/>
      <c r="F1485" s="0" t="s">
        <v>266</v>
      </c>
      <c r="G1485" s="0" t="s">
        <v>1536</v>
      </c>
      <c r="H1485" s="3">
        <v>1250</v>
      </c>
    </row>
    <row r="1486">
      <c r="A1486" s="0" t="s">
        <v>2781</v>
      </c>
      <c r="B1486" s="0" t="s">
        <v>2782</v>
      </c>
      <c r="C1486" s="5">
        <f>=HYPERLINK("https://nusmods.com/modules/HS1501#timetable","Timetable")</f>
      </c>
      <c r="D1486" s="5">
        <f>=HYPERLINK("https://canvas.nus.edu.sg/courses/24862","Canvas course site")</f>
      </c>
      <c r="E1486" s="5">
        <f>=HYPERLINK("https://luminus.nus.edu.sg/modules/c69be58a-403b-4430-a90c-1154962f55d8","LumiNUS course site")</f>
      </c>
      <c r="F1486" s="0" t="s">
        <v>266</v>
      </c>
      <c r="G1486" s="0" t="s">
        <v>1621</v>
      </c>
      <c r="H1486" s="3">
        <v>614</v>
      </c>
    </row>
    <row r="1487">
      <c r="A1487" s="0" t="s">
        <v>2783</v>
      </c>
      <c r="B1487" s="0" t="s">
        <v>2784</v>
      </c>
      <c r="C1487" s="5">
        <f>=HYPERLINK("https://nusmods.com/modules/HS2903#timetable","Timetable")</f>
      </c>
      <c r="D1487" s="5">
        <f>=HYPERLINK("https://canvas.nus.edu.sg/courses/22466","Canvas course site")</f>
      </c>
      <c r="E1487" s="5">
        <f>=HYPERLINK("https://luminus.nus.edu.sg/modules/735b8f7a-5457-4e20-89f0-544a4f5d3d1a","LumiNUS course site")</f>
      </c>
      <c r="F1487" s="0" t="s">
        <v>2785</v>
      </c>
      <c r="G1487" s="0" t="s">
        <v>74</v>
      </c>
      <c r="H1487" s="3">
        <v>95</v>
      </c>
    </row>
    <row r="1488">
      <c r="A1488" s="0" t="s">
        <v>2786</v>
      </c>
      <c r="B1488" s="0" t="s">
        <v>2787</v>
      </c>
      <c r="C1488" s="5">
        <f>=HYPERLINK("https://nusmods.com/modules/HS2904#timetable","Timetable")</f>
      </c>
      <c r="D1488" s="5"/>
      <c r="E1488" s="5">
        <f>=HYPERLINK("https://luminus.nus.edu.sg/modules/024e901b-0905-44e9-a65d-869ee4cf1397","LumiNUS course site")</f>
      </c>
      <c r="F1488" s="0" t="s">
        <v>266</v>
      </c>
      <c r="G1488" s="0" t="s">
        <v>1053</v>
      </c>
      <c r="H1488" s="3">
        <v>50</v>
      </c>
    </row>
    <row r="1489">
      <c r="A1489" s="0" t="s">
        <v>2788</v>
      </c>
      <c r="B1489" s="0" t="s">
        <v>2789</v>
      </c>
      <c r="C1489" s="5">
        <f>=HYPERLINK("https://nusmods.com/modules/HSA1000#timetable","Timetable")</f>
      </c>
      <c r="D1489" s="5"/>
      <c r="E1489" s="5">
        <f>=HYPERLINK("https://luminus.nus.edu.sg/modules/fc8233a7-fc4c-49a7-87ef-33e2557ede95","LumiNUS course site")</f>
      </c>
      <c r="F1489" s="0" t="s">
        <v>73</v>
      </c>
      <c r="G1489" s="0" t="s">
        <v>2488</v>
      </c>
      <c r="H1489" s="3">
        <v>1034</v>
      </c>
    </row>
    <row r="1490">
      <c r="A1490" s="0" t="s">
        <v>2790</v>
      </c>
      <c r="B1490" s="0" t="s">
        <v>2791</v>
      </c>
      <c r="C1490" s="5">
        <f>=HYPERLINK("https://nusmods.com/modules/HSH1000#timetable","Timetable")</f>
      </c>
      <c r="D1490" s="5">
        <f>=HYPERLINK("https://canvas.nus.edu.sg/courses/24873","Canvas course site")</f>
      </c>
      <c r="E1490" s="5">
        <f>=HYPERLINK("https://luminus.nus.edu.sg/modules/2771a31b-a402-4d41-aedb-26f41ffd3aad","LumiNUS course site")</f>
      </c>
      <c r="F1490" s="0" t="s">
        <v>73</v>
      </c>
      <c r="G1490" s="0" t="s">
        <v>2223</v>
      </c>
      <c r="H1490" s="3">
        <v>1142</v>
      </c>
    </row>
    <row r="1491">
      <c r="A1491" s="0" t="s">
        <v>2792</v>
      </c>
      <c r="B1491" s="0" t="s">
        <v>2793</v>
      </c>
      <c r="C1491" s="5">
        <f>=HYPERLINK("https://nusmods.com/modules/HSI1000#timetable","Timetable")</f>
      </c>
      <c r="D1491" s="5">
        <f>=HYPERLINK("https://canvas.nus.edu.sg/courses/24879","Canvas course site")</f>
      </c>
      <c r="E1491" s="5"/>
      <c r="F1491" s="0" t="s">
        <v>266</v>
      </c>
      <c r="G1491" s="0" t="s">
        <v>1536</v>
      </c>
      <c r="H1491" s="3">
        <v>1129</v>
      </c>
    </row>
    <row r="1492">
      <c r="A1492" s="0" t="s">
        <v>2794</v>
      </c>
      <c r="B1492" s="0" t="s">
        <v>2795</v>
      </c>
      <c r="C1492" s="5">
        <f>=HYPERLINK("https://nusmods.com/modules/HSI2005#timetable","Timetable")</f>
      </c>
      <c r="D1492" s="5">
        <f>=HYPERLINK("https://canvas.nus.edu.sg/courses/24884","Canvas course site")</f>
      </c>
      <c r="E1492" s="5"/>
      <c r="F1492" s="0" t="s">
        <v>266</v>
      </c>
      <c r="G1492" s="0" t="s">
        <v>267</v>
      </c>
      <c r="H1492" s="3">
        <v>95</v>
      </c>
    </row>
    <row r="1493">
      <c r="A1493" s="0" t="s">
        <v>2796</v>
      </c>
      <c r="B1493" s="0" t="s">
        <v>2797</v>
      </c>
      <c r="C1493" s="5">
        <f>=HYPERLINK("https://nusmods.com/modules/HSI2007#timetable","Timetable")</f>
      </c>
      <c r="D1493" s="5">
        <f>=HYPERLINK("https://canvas.nus.edu.sg/courses/24889","Canvas course site")</f>
      </c>
      <c r="E1493" s="5"/>
      <c r="F1493" s="0" t="s">
        <v>266</v>
      </c>
      <c r="G1493" s="0" t="s">
        <v>2322</v>
      </c>
      <c r="H1493" s="3">
        <v>198</v>
      </c>
    </row>
    <row r="1494">
      <c r="A1494" s="0" t="s">
        <v>2798</v>
      </c>
      <c r="B1494" s="0" t="s">
        <v>2799</v>
      </c>
      <c r="C1494" s="5">
        <f>=HYPERLINK("https://nusmods.com/modules/HSI2010#timetable","Timetable")</f>
      </c>
      <c r="D1494" s="5"/>
      <c r="E1494" s="5">
        <f>=HYPERLINK("https://luminus.nus.edu.sg/modules/1f60c4bf-6d78-4356-9fde-b473d17f89bc","LumiNUS course site")</f>
      </c>
      <c r="F1494" s="0" t="s">
        <v>266</v>
      </c>
      <c r="G1494" s="0" t="s">
        <v>1230</v>
      </c>
      <c r="H1494" s="3">
        <v>221</v>
      </c>
    </row>
    <row r="1495">
      <c r="A1495" s="0" t="s">
        <v>2800</v>
      </c>
      <c r="B1495" s="0" t="s">
        <v>2801</v>
      </c>
      <c r="C1495" s="5">
        <f>=HYPERLINK("https://nusmods.com/modules/HSI2013#timetable","Timetable")</f>
      </c>
      <c r="D1495" s="5"/>
      <c r="E1495" s="5">
        <f>=HYPERLINK("https://luminus.nus.edu.sg/modules/5415c0c2-45a9-490e-960b-429c7fd07d67","LumiNUS course site")</f>
      </c>
      <c r="F1495" s="0" t="s">
        <v>266</v>
      </c>
      <c r="G1495" s="0" t="s">
        <v>1230</v>
      </c>
      <c r="H1495" s="3">
        <v>204</v>
      </c>
    </row>
    <row r="1496">
      <c r="A1496" s="0" t="s">
        <v>2802</v>
      </c>
      <c r="B1496" s="0" t="s">
        <v>2803</v>
      </c>
      <c r="C1496" s="5">
        <f>=HYPERLINK("https://nusmods.com/modules/HSI2014#timetable","Timetable")</f>
      </c>
      <c r="D1496" s="5">
        <f>=HYPERLINK("https://canvas.nus.edu.sg/courses/24895","Canvas course site")</f>
      </c>
      <c r="E1496" s="5">
        <f>=HYPERLINK("https://luminus.nus.edu.sg/modules/4c36b399-3ce1-48fb-bd45-4af6b6345a44","LumiNUS course site")</f>
      </c>
      <c r="F1496" s="0" t="s">
        <v>266</v>
      </c>
      <c r="G1496" s="0" t="s">
        <v>1230</v>
      </c>
      <c r="H1496" s="3">
        <v>120</v>
      </c>
    </row>
    <row r="1497">
      <c r="A1497" s="0" t="s">
        <v>2804</v>
      </c>
      <c r="B1497" s="0" t="s">
        <v>2805</v>
      </c>
      <c r="C1497" s="5">
        <f>=HYPERLINK("https://nusmods.com/modules/HSS1000#timetable","Timetable")</f>
      </c>
      <c r="D1497" s="5"/>
      <c r="E1497" s="5">
        <f>=HYPERLINK("https://luminus.nus.edu.sg/modules/8e80b36f-1edf-4cdd-82ef-74fe5ee5dd2c","LumiNUS course site")</f>
      </c>
      <c r="F1497" s="0" t="s">
        <v>73</v>
      </c>
      <c r="G1497" s="0" t="s">
        <v>2223</v>
      </c>
      <c r="H1497" s="3">
        <v>1017</v>
      </c>
    </row>
    <row r="1498">
      <c r="A1498" s="0" t="s">
        <v>2806</v>
      </c>
      <c r="B1498" s="0" t="s">
        <v>2807</v>
      </c>
      <c r="C1498" s="5">
        <f>=HYPERLINK("https://nusmods.com/modules/HY1101E#timetable","Timetable")</f>
      </c>
      <c r="D1498" s="5"/>
      <c r="E1498" s="5">
        <f>=HYPERLINK("https://luminus.nus.edu.sg/modules/d3d40515-d2ca-4209-93d2-fc2f244ed546","LumiNUS course site")</f>
      </c>
      <c r="F1498" s="0" t="s">
        <v>73</v>
      </c>
      <c r="G1498" s="0" t="s">
        <v>81</v>
      </c>
      <c r="H1498" s="3">
        <v>94</v>
      </c>
    </row>
    <row r="1499">
      <c r="A1499" s="0" t="s">
        <v>2808</v>
      </c>
      <c r="B1499" s="0" t="s">
        <v>2809</v>
      </c>
      <c r="C1499" s="5">
        <f>=HYPERLINK("https://nusmods.com/modules/HY2206#timetable","Timetable")</f>
      </c>
      <c r="D1499" s="5">
        <f>=HYPERLINK("https://canvas.nus.edu.sg/courses/24910","Canvas course site")</f>
      </c>
      <c r="E1499" s="5">
        <f>=HYPERLINK("https://luminus.nus.edu.sg/modules/82141fa5-4ce4-486c-96b1-80c372292932","LumiNUS course site")</f>
      </c>
      <c r="F1499" s="0" t="s">
        <v>73</v>
      </c>
      <c r="G1499" s="0" t="s">
        <v>81</v>
      </c>
      <c r="H1499" s="3">
        <v>61</v>
      </c>
    </row>
    <row r="1500">
      <c r="A1500" s="0" t="s">
        <v>2810</v>
      </c>
      <c r="B1500" s="0" t="s">
        <v>207</v>
      </c>
      <c r="C1500" s="5">
        <f>=HYPERLINK("https://nusmods.com/modules/HY2237#timetable","Timetable")</f>
      </c>
      <c r="D1500" s="5">
        <f>=HYPERLINK("https://canvas.nus.edu.sg/courses/22470","Canvas course site")</f>
      </c>
      <c r="E1500" s="5">
        <f>=HYPERLINK("https://luminus.nus.edu.sg/modules/667c50a1-739a-4efa-a7b0-c0502bc795c7","LumiNUS course site")</f>
      </c>
      <c r="F1500" s="0" t="s">
        <v>73</v>
      </c>
      <c r="G1500" s="0" t="s">
        <v>81</v>
      </c>
      <c r="H1500" s="3">
        <v>50</v>
      </c>
    </row>
    <row r="1501">
      <c r="A1501" s="0" t="s">
        <v>2811</v>
      </c>
      <c r="B1501" s="0" t="s">
        <v>2812</v>
      </c>
      <c r="C1501" s="5">
        <f>=HYPERLINK("https://nusmods.com/modules/HY2258#timetable","Timetable")</f>
      </c>
      <c r="D1501" s="5"/>
      <c r="E1501" s="5">
        <f>=HYPERLINK("https://luminus.nus.edu.sg/modules/7729e4c1-a7ba-4121-93d8-1dc3843c3d13","LumiNUS course site")</f>
      </c>
      <c r="F1501" s="0" t="s">
        <v>73</v>
      </c>
      <c r="G1501" s="0" t="s">
        <v>81</v>
      </c>
      <c r="H1501" s="3">
        <v>25</v>
      </c>
    </row>
    <row r="1502">
      <c r="A1502" s="0" t="s">
        <v>2813</v>
      </c>
      <c r="B1502" s="0" t="s">
        <v>2814</v>
      </c>
      <c r="C1502" s="5">
        <f>=HYPERLINK("https://nusmods.com/modules/HY3217#timetable","Timetable")</f>
      </c>
      <c r="D1502" s="5"/>
      <c r="E1502" s="5">
        <f>=HYPERLINK("https://luminus.nus.edu.sg/modules/767dc70d-ed23-4f6b-8e01-dba4e06e5ade","LumiNUS course site")</f>
      </c>
      <c r="F1502" s="0" t="s">
        <v>73</v>
      </c>
      <c r="G1502" s="0" t="s">
        <v>81</v>
      </c>
      <c r="H1502" s="3">
        <v>41</v>
      </c>
    </row>
    <row r="1503">
      <c r="A1503" s="0" t="s">
        <v>2815</v>
      </c>
      <c r="B1503" s="0" t="s">
        <v>2816</v>
      </c>
      <c r="C1503" s="5">
        <f>=HYPERLINK("https://nusmods.com/modules/HY3245#timetable","Timetable")</f>
      </c>
      <c r="D1503" s="5"/>
      <c r="E1503" s="5">
        <f>=HYPERLINK("https://luminus.nus.edu.sg/modules/ae834ad0-683e-4164-8d42-98bfff2163f0","LumiNUS course site")</f>
      </c>
      <c r="F1503" s="0" t="s">
        <v>73</v>
      </c>
      <c r="G1503" s="0" t="s">
        <v>81</v>
      </c>
      <c r="H1503" s="3">
        <v>38</v>
      </c>
    </row>
    <row r="1504">
      <c r="A1504" s="0" t="s">
        <v>2817</v>
      </c>
      <c r="B1504" s="0" t="s">
        <v>2818</v>
      </c>
      <c r="C1504" s="5">
        <f>=HYPERLINK("https://nusmods.com/modules/HY3257#timetable","Timetable")</f>
      </c>
      <c r="D1504" s="5"/>
      <c r="E1504" s="5">
        <f>=HYPERLINK("https://luminus.nus.edu.sg/modules/b7f6d4f2-1991-4372-bc50-75ad72418fbd","LumiNUS course site")</f>
      </c>
      <c r="F1504" s="0" t="s">
        <v>73</v>
      </c>
      <c r="G1504" s="0" t="s">
        <v>81</v>
      </c>
      <c r="H1504" s="3">
        <v>15</v>
      </c>
    </row>
    <row r="1505">
      <c r="A1505" s="0" t="s">
        <v>2819</v>
      </c>
      <c r="B1505" s="0" t="s">
        <v>2820</v>
      </c>
      <c r="C1505" s="5">
        <f>=HYPERLINK("https://nusmods.com/modules/HY3259#timetable","Timetable")</f>
      </c>
      <c r="D1505" s="5"/>
      <c r="E1505" s="5">
        <f>=HYPERLINK("https://luminus.nus.edu.sg/modules/9b73c810-61d2-4e76-bdee-ca32acf6814d","LumiNUS course site")</f>
      </c>
      <c r="F1505" s="0" t="s">
        <v>73</v>
      </c>
      <c r="G1505" s="0" t="s">
        <v>81</v>
      </c>
      <c r="H1505" s="3">
        <v>29</v>
      </c>
    </row>
    <row r="1506">
      <c r="A1506" s="0" t="s">
        <v>2821</v>
      </c>
      <c r="B1506" s="0" t="s">
        <v>2822</v>
      </c>
      <c r="C1506" s="5">
        <f>=HYPERLINK("https://nusmods.com/modules/HY3262#timetable","Timetable")</f>
      </c>
      <c r="D1506" s="5"/>
      <c r="E1506" s="5">
        <f>=HYPERLINK("https://luminus.nus.edu.sg/modules/511a35c1-68ec-45cf-a06c-b8f3f321e921","LumiNUS course site")</f>
      </c>
      <c r="F1506" s="0" t="s">
        <v>73</v>
      </c>
      <c r="G1506" s="0" t="s">
        <v>81</v>
      </c>
      <c r="H1506" s="3">
        <v>46</v>
      </c>
    </row>
    <row r="1507">
      <c r="A1507" s="0" t="s">
        <v>2823</v>
      </c>
      <c r="B1507" s="0" t="s">
        <v>2626</v>
      </c>
      <c r="C1507" s="5">
        <f>=HYPERLINK("https://nusmods.com/modules/HY3551#timetable","Timetable")</f>
      </c>
      <c r="D1507" s="5"/>
      <c r="E1507" s="5"/>
      <c r="F1507" s="0" t="s">
        <v>73</v>
      </c>
      <c r="G1507" s="0" t="s">
        <v>81</v>
      </c>
      <c r="H1507" s="3">
        <v>2</v>
      </c>
    </row>
    <row r="1508">
      <c r="A1508" s="0" t="s">
        <v>2824</v>
      </c>
      <c r="B1508" s="0" t="s">
        <v>2216</v>
      </c>
      <c r="C1508" s="5">
        <f>=HYPERLINK("https://nusmods.com/modules/HY4209#timetable","Timetable")</f>
      </c>
      <c r="D1508" s="5">
        <f>=HYPERLINK("https://canvas.nus.edu.sg/courses/26016","Canvas course site")</f>
      </c>
      <c r="E1508" s="5">
        <f>=HYPERLINK("https://luminus.nus.edu.sg/modules/2ccd1696-f963-4754-a2a5-6bee65772240","LumiNUS course site")</f>
      </c>
      <c r="F1508" s="0" t="s">
        <v>73</v>
      </c>
      <c r="G1508" s="0" t="s">
        <v>81</v>
      </c>
      <c r="H1508" s="3">
        <v>30</v>
      </c>
    </row>
    <row r="1509">
      <c r="A1509" s="0" t="s">
        <v>2825</v>
      </c>
      <c r="B1509" s="0" t="s">
        <v>2826</v>
      </c>
      <c r="C1509" s="5">
        <f>=HYPERLINK("https://nusmods.com/modules/HY4218#timetable","Timetable")</f>
      </c>
      <c r="D1509" s="5"/>
      <c r="E1509" s="5">
        <f>=HYPERLINK("https://luminus.nus.edu.sg/modules/90087892-db74-4c27-a75f-dd04d06951ea","LumiNUS course site")</f>
      </c>
      <c r="F1509" s="0" t="s">
        <v>73</v>
      </c>
      <c r="G1509" s="0" t="s">
        <v>2455</v>
      </c>
      <c r="H1509" s="3">
        <v>14</v>
      </c>
    </row>
    <row r="1510">
      <c r="A1510" s="0" t="s">
        <v>2827</v>
      </c>
      <c r="B1510" s="0" t="s">
        <v>2828</v>
      </c>
      <c r="C1510" s="5">
        <f>=HYPERLINK("https://nusmods.com/modules/HY4222#timetable","Timetable")</f>
      </c>
      <c r="D1510" s="5"/>
      <c r="E1510" s="5">
        <f>=HYPERLINK("https://luminus.nus.edu.sg/modules/556a1d2b-1933-4297-baed-7ce9f5c146f8","LumiNUS course site")</f>
      </c>
      <c r="F1510" s="0" t="s">
        <v>73</v>
      </c>
      <c r="G1510" s="0" t="s">
        <v>81</v>
      </c>
      <c r="H1510" s="3">
        <v>28</v>
      </c>
    </row>
    <row r="1511">
      <c r="A1511" s="0" t="s">
        <v>2829</v>
      </c>
      <c r="B1511" s="0" t="s">
        <v>2830</v>
      </c>
      <c r="C1511" s="5">
        <f>=HYPERLINK("https://nusmods.com/modules/HY4227#timetable","Timetable")</f>
      </c>
      <c r="D1511" s="5"/>
      <c r="E1511" s="5">
        <f>=HYPERLINK("https://luminus.nus.edu.sg/modules/9fa86d97-3784-4271-bd8e-c8c0ff608d0d","LumiNUS course site")</f>
      </c>
      <c r="F1511" s="0" t="s">
        <v>73</v>
      </c>
      <c r="G1511" s="0" t="s">
        <v>81</v>
      </c>
      <c r="H1511" s="3">
        <v>24</v>
      </c>
    </row>
    <row r="1512">
      <c r="A1512" s="0" t="s">
        <v>2831</v>
      </c>
      <c r="B1512" s="0" t="s">
        <v>2832</v>
      </c>
      <c r="C1512" s="5">
        <f>=HYPERLINK("https://nusmods.com/modules/HY4228#timetable","Timetable")</f>
      </c>
      <c r="D1512" s="5"/>
      <c r="E1512" s="5">
        <f>=HYPERLINK("https://luminus.nus.edu.sg/modules/2f69e762-c1ad-477c-804d-50fbd5c9a1b4","LumiNUS course site")</f>
      </c>
      <c r="F1512" s="0" t="s">
        <v>73</v>
      </c>
      <c r="G1512" s="0" t="s">
        <v>81</v>
      </c>
      <c r="H1512" s="3">
        <v>23</v>
      </c>
    </row>
    <row r="1513">
      <c r="A1513" s="0" t="s">
        <v>2833</v>
      </c>
      <c r="B1513" s="0" t="s">
        <v>2834</v>
      </c>
      <c r="C1513" s="5">
        <f>=HYPERLINK("https://nusmods.com/modules/HY4230#timetable","Timetable")</f>
      </c>
      <c r="D1513" s="5"/>
      <c r="E1513" s="5">
        <f>=HYPERLINK("https://luminus.nus.edu.sg/modules/9f626231-63f8-4b9d-9f04-c2902d0e384a","LumiNUS course site")</f>
      </c>
      <c r="F1513" s="0" t="s">
        <v>73</v>
      </c>
      <c r="G1513" s="0" t="s">
        <v>81</v>
      </c>
      <c r="H1513" s="3">
        <v>24</v>
      </c>
    </row>
    <row r="1514">
      <c r="A1514" s="0" t="s">
        <v>2835</v>
      </c>
      <c r="B1514" s="0" t="s">
        <v>2836</v>
      </c>
      <c r="C1514" s="5">
        <f>=HYPERLINK("https://nusmods.com/modules/HY4239#timetable","Timetable")</f>
      </c>
      <c r="D1514" s="5"/>
      <c r="E1514" s="5">
        <f>=HYPERLINK("https://luminus.nus.edu.sg/modules/12033451-c7df-420b-b19e-cf3545f7a206","LumiNUS course site")</f>
      </c>
      <c r="F1514" s="0" t="s">
        <v>73</v>
      </c>
      <c r="G1514" s="0" t="s">
        <v>81</v>
      </c>
      <c r="H1514" s="3">
        <v>23</v>
      </c>
    </row>
    <row r="1515">
      <c r="A1515" s="0" t="s">
        <v>2837</v>
      </c>
      <c r="B1515" s="0" t="s">
        <v>980</v>
      </c>
      <c r="C1515" s="5">
        <f>=HYPERLINK("https://nusmods.com/modules/HY4401#timetable","Timetable")</f>
      </c>
      <c r="D1515" s="5"/>
      <c r="E1515" s="5">
        <f>=HYPERLINK("https://luminus.nus.edu.sg/modules/a68c6420-e93b-479d-81b2-37771dc00889","LumiNUS course site")</f>
      </c>
      <c r="F1515" s="0" t="s">
        <v>73</v>
      </c>
      <c r="G1515" s="0" t="s">
        <v>81</v>
      </c>
      <c r="H1515" s="3">
        <v>6</v>
      </c>
    </row>
    <row r="1516">
      <c r="A1516" s="0" t="s">
        <v>2838</v>
      </c>
      <c r="B1516" s="0" t="s">
        <v>602</v>
      </c>
      <c r="C1516" s="5">
        <f>=HYPERLINK("https://nusmods.com/modules/HY4660#timetable","Timetable")</f>
      </c>
      <c r="D1516" s="5"/>
      <c r="E1516" s="5"/>
      <c r="F1516" s="0" t="s">
        <v>73</v>
      </c>
      <c r="G1516" s="0" t="s">
        <v>81</v>
      </c>
      <c r="H1516" s="3">
        <v>2</v>
      </c>
    </row>
    <row r="1517">
      <c r="A1517" s="0" t="s">
        <v>2839</v>
      </c>
      <c r="B1517" s="0" t="s">
        <v>2840</v>
      </c>
      <c r="C1517" s="5">
        <f>=HYPERLINK("https://nusmods.com/modules/HY5210#timetable","Timetable")</f>
      </c>
      <c r="D1517" s="5"/>
      <c r="E1517" s="5">
        <f>=HYPERLINK("https://luminus.nus.edu.sg/modules/a4156fa0-dd82-4b88-90a6-3855cfb1cc8f","LumiNUS course site")</f>
      </c>
      <c r="F1517" s="0" t="s">
        <v>73</v>
      </c>
      <c r="G1517" s="0" t="s">
        <v>81</v>
      </c>
      <c r="H1517" s="3">
        <v>23</v>
      </c>
    </row>
    <row r="1518">
      <c r="A1518" s="0" t="s">
        <v>2841</v>
      </c>
      <c r="B1518" s="0" t="s">
        <v>2840</v>
      </c>
      <c r="C1518" s="5">
        <f>=HYPERLINK("https://nusmods.com/modules/HY5210R#timetable","Timetable")</f>
      </c>
      <c r="D1518" s="5"/>
      <c r="E1518" s="5"/>
      <c r="F1518" s="0" t="s">
        <v>73</v>
      </c>
      <c r="G1518" s="0" t="s">
        <v>81</v>
      </c>
      <c r="H1518" s="3">
        <v>1</v>
      </c>
    </row>
    <row r="1519">
      <c r="A1519" s="0" t="s">
        <v>2842</v>
      </c>
      <c r="B1519" s="0" t="s">
        <v>2843</v>
      </c>
      <c r="C1519" s="5">
        <f>=HYPERLINK("https://nusmods.com/modules/HY5305#timetable","Timetable")</f>
      </c>
      <c r="D1519" s="5"/>
      <c r="E1519" s="5">
        <f>=HYPERLINK("https://luminus.nus.edu.sg/modules/50eb3e07-5e2a-4fe3-99a3-cadbd48a7dd7","LumiNUS course site")</f>
      </c>
      <c r="F1519" s="0" t="s">
        <v>73</v>
      </c>
      <c r="G1519" s="0" t="s">
        <v>81</v>
      </c>
      <c r="H1519" s="3">
        <v>25</v>
      </c>
    </row>
    <row r="1520">
      <c r="A1520" s="0" t="s">
        <v>2844</v>
      </c>
      <c r="B1520" s="0" t="s">
        <v>2845</v>
      </c>
      <c r="C1520" s="5">
        <f>=HYPERLINK("https://nusmods.com/modules/HY5401#timetable","Timetable")</f>
      </c>
      <c r="D1520" s="5">
        <f>=HYPERLINK("https://canvas.nus.edu.sg/courses/24995","Canvas course site")</f>
      </c>
      <c r="E1520" s="5">
        <f>=HYPERLINK("https://luminus.nus.edu.sg/modules/87ff9bf2-2f58-4d7e-8537-30b3d425a472","LumiNUS course site")</f>
      </c>
      <c r="F1520" s="0" t="s">
        <v>73</v>
      </c>
      <c r="G1520" s="0" t="s">
        <v>81</v>
      </c>
      <c r="H1520" s="3">
        <v>22</v>
      </c>
    </row>
    <row r="1521">
      <c r="A1521" s="0" t="s">
        <v>2846</v>
      </c>
      <c r="B1521" s="0" t="s">
        <v>2847</v>
      </c>
      <c r="C1521" s="5">
        <f>=HYPERLINK("https://nusmods.com/modules/HY5405#timetable","Timetable")</f>
      </c>
      <c r="D1521" s="5">
        <f>=HYPERLINK("https://canvas.nus.edu.sg/courses/22474","Canvas course site")</f>
      </c>
      <c r="E1521" s="5">
        <f>=HYPERLINK("https://luminus.nus.edu.sg/modules/35668e3d-e82b-4340-b7d6-c8b8c80a0d58","LumiNUS course site")</f>
      </c>
      <c r="F1521" s="0" t="s">
        <v>73</v>
      </c>
      <c r="G1521" s="0" t="s">
        <v>81</v>
      </c>
      <c r="H1521" s="3">
        <v>17</v>
      </c>
    </row>
    <row r="1522">
      <c r="A1522" s="0" t="s">
        <v>2848</v>
      </c>
      <c r="B1522" s="0" t="s">
        <v>2849</v>
      </c>
      <c r="C1522" s="5">
        <f>=HYPERLINK("https://nusmods.com/modules/HY5406#timetable","Timetable")</f>
      </c>
      <c r="D1522" s="5">
        <f>=HYPERLINK("https://canvas.nus.edu.sg/courses/25002","Canvas course site")</f>
      </c>
      <c r="E1522" s="5">
        <f>=HYPERLINK("https://luminus.nus.edu.sg/modules/365a4da6-f91b-4cfe-930d-613390e4b050","LumiNUS course site")</f>
      </c>
      <c r="F1522" s="0" t="s">
        <v>73</v>
      </c>
      <c r="G1522" s="0" t="s">
        <v>81</v>
      </c>
      <c r="H1522" s="3">
        <v>11</v>
      </c>
    </row>
    <row r="1523">
      <c r="A1523" s="0" t="s">
        <v>2850</v>
      </c>
      <c r="B1523" s="0" t="s">
        <v>2851</v>
      </c>
      <c r="C1523" s="5">
        <f>=HYPERLINK("https://nusmods.com/modules/HY5407#timetable","Timetable")</f>
      </c>
      <c r="D1523" s="5"/>
      <c r="E1523" s="5">
        <f>=HYPERLINK("https://luminus.nus.edu.sg/modules/9bb2d401-b44a-421b-819b-09495301ba3b","LumiNUS course site")</f>
      </c>
      <c r="F1523" s="0" t="s">
        <v>73</v>
      </c>
      <c r="G1523" s="0" t="s">
        <v>81</v>
      </c>
      <c r="H1523" s="3">
        <v>15</v>
      </c>
    </row>
    <row r="1524">
      <c r="A1524" s="0" t="s">
        <v>2852</v>
      </c>
      <c r="B1524" s="0" t="s">
        <v>2853</v>
      </c>
      <c r="C1524" s="5">
        <f>=HYPERLINK("https://nusmods.com/modules/HY5408#timetable","Timetable")</f>
      </c>
      <c r="D1524" s="5"/>
      <c r="E1524" s="5">
        <f>=HYPERLINK("https://luminus.nus.edu.sg/modules/7ef828fe-d8ca-45ec-9a34-d7bb633c9502","LumiNUS course site")</f>
      </c>
      <c r="F1524" s="0" t="s">
        <v>73</v>
      </c>
      <c r="G1524" s="0" t="s">
        <v>81</v>
      </c>
      <c r="H1524" s="3">
        <v>20</v>
      </c>
    </row>
    <row r="1525">
      <c r="A1525" s="0" t="s">
        <v>2854</v>
      </c>
      <c r="B1525" s="0" t="s">
        <v>2853</v>
      </c>
      <c r="C1525" s="5">
        <f>=HYPERLINK("https://nusmods.com/modules/HY5408R#timetable","Timetable")</f>
      </c>
      <c r="D1525" s="5"/>
      <c r="E1525" s="5"/>
      <c r="F1525" s="0" t="s">
        <v>73</v>
      </c>
      <c r="G1525" s="0" t="s">
        <v>81</v>
      </c>
      <c r="H1525" s="3">
        <v>0</v>
      </c>
    </row>
    <row r="1526">
      <c r="A1526" s="0" t="s">
        <v>2855</v>
      </c>
      <c r="B1526" s="0" t="s">
        <v>2856</v>
      </c>
      <c r="C1526" s="5">
        <f>=HYPERLINK("https://nusmods.com/modules/HY5414#timetable","Timetable")</f>
      </c>
      <c r="D1526" s="5"/>
      <c r="E1526" s="5"/>
      <c r="F1526" s="0" t="s">
        <v>73</v>
      </c>
      <c r="G1526" s="0" t="s">
        <v>81</v>
      </c>
      <c r="H1526" s="3">
        <v>2</v>
      </c>
    </row>
    <row r="1527">
      <c r="A1527" s="0" t="s">
        <v>2857</v>
      </c>
      <c r="B1527" s="0" t="s">
        <v>989</v>
      </c>
      <c r="C1527" s="5">
        <f>=HYPERLINK("https://nusmods.com/modules/HY5660#timetable","Timetable")</f>
      </c>
      <c r="D1527" s="5"/>
      <c r="E1527" s="5">
        <f>=HYPERLINK("https://luminus.nus.edu.sg/modules/ac218777-8181-45e2-83bf-86ea59a25bf7","LumiNUS course site")</f>
      </c>
      <c r="F1527" s="0" t="s">
        <v>73</v>
      </c>
      <c r="G1527" s="0" t="s">
        <v>81</v>
      </c>
      <c r="H1527" s="3">
        <v>4</v>
      </c>
    </row>
    <row r="1528">
      <c r="A1528" s="0" t="s">
        <v>2858</v>
      </c>
      <c r="B1528" s="0" t="s">
        <v>2859</v>
      </c>
      <c r="C1528" s="5">
        <f>=HYPERLINK("https://nusmods.com/modules/HY6101#timetable","Timetable")</f>
      </c>
      <c r="D1528" s="5"/>
      <c r="E1528" s="5">
        <f>=HYPERLINK("https://luminus.nus.edu.sg/modules/8e071afb-2eb0-4f21-8394-237a51c57741","LumiNUS course site")</f>
      </c>
      <c r="F1528" s="0" t="s">
        <v>73</v>
      </c>
      <c r="G1528" s="0" t="s">
        <v>81</v>
      </c>
      <c r="H1528" s="3">
        <v>20</v>
      </c>
    </row>
    <row r="1529">
      <c r="A1529" s="0" t="s">
        <v>2860</v>
      </c>
      <c r="B1529" s="0" t="s">
        <v>989</v>
      </c>
      <c r="C1529" s="5">
        <f>=HYPERLINK("https://nusmods.com/modules/HY6660#timetable","Timetable")</f>
      </c>
      <c r="D1529" s="5"/>
      <c r="E1529" s="5">
        <f>=HYPERLINK("https://luminus.nus.edu.sg/modules/204dbe7c-8aae-4818-a429-e346a5db6e60","LumiNUS course site")</f>
      </c>
      <c r="F1529" s="0" t="s">
        <v>73</v>
      </c>
      <c r="G1529" s="0" t="s">
        <v>81</v>
      </c>
      <c r="H1529" s="3">
        <v>2</v>
      </c>
    </row>
    <row r="1530">
      <c r="A1530" s="0" t="s">
        <v>2861</v>
      </c>
      <c r="B1530" s="0" t="s">
        <v>2862</v>
      </c>
      <c r="C1530" s="5">
        <f>=HYPERLINK("https://nusmods.com/modules/ID1114#timetable","Timetable")</f>
      </c>
      <c r="D1530" s="5">
        <f>=HYPERLINK("https://canvas.nus.edu.sg/courses/25040","Canvas course site")</f>
      </c>
      <c r="E1530" s="5"/>
      <c r="F1530" s="0" t="s">
        <v>10</v>
      </c>
      <c r="G1530" s="0" t="s">
        <v>782</v>
      </c>
      <c r="H1530" s="3">
        <v>44</v>
      </c>
    </row>
    <row r="1531">
      <c r="A1531" s="0" t="s">
        <v>2863</v>
      </c>
      <c r="B1531" s="0" t="s">
        <v>2864</v>
      </c>
      <c r="C1531" s="5">
        <f>=HYPERLINK("https://nusmods.com/modules/ID1115#timetable","Timetable")</f>
      </c>
      <c r="D1531" s="5"/>
      <c r="E1531" s="5"/>
      <c r="F1531" s="0" t="s">
        <v>10</v>
      </c>
      <c r="G1531" s="0" t="s">
        <v>782</v>
      </c>
      <c r="H1531" s="3">
        <v>44</v>
      </c>
    </row>
    <row r="1532">
      <c r="A1532" s="0" t="s">
        <v>2865</v>
      </c>
      <c r="B1532" s="0" t="s">
        <v>2866</v>
      </c>
      <c r="C1532" s="5">
        <f>=HYPERLINK("https://nusmods.com/modules/ID1223#timetable","Timetable")</f>
      </c>
      <c r="D1532" s="5">
        <f>=HYPERLINK("https://canvas.nus.edu.sg/courses/25050","Canvas course site")</f>
      </c>
      <c r="E1532" s="5"/>
      <c r="F1532" s="0" t="s">
        <v>10</v>
      </c>
      <c r="G1532" s="0" t="s">
        <v>782</v>
      </c>
      <c r="H1532" s="3">
        <v>46</v>
      </c>
    </row>
    <row r="1533">
      <c r="A1533" s="0" t="s">
        <v>2867</v>
      </c>
      <c r="B1533" s="0" t="s">
        <v>2868</v>
      </c>
      <c r="C1533" s="5">
        <f>=HYPERLINK("https://nusmods.com/modules/ID1300#timetable","Timetable")</f>
      </c>
      <c r="D1533" s="5">
        <f>=HYPERLINK("https://canvas.nus.edu.sg/courses/25056","Canvas course site")</f>
      </c>
      <c r="E1533" s="5"/>
      <c r="F1533" s="0" t="s">
        <v>10</v>
      </c>
      <c r="G1533" s="0" t="s">
        <v>782</v>
      </c>
      <c r="H1533" s="3">
        <v>44</v>
      </c>
    </row>
    <row r="1534">
      <c r="A1534" s="0" t="s">
        <v>2869</v>
      </c>
      <c r="B1534" s="0" t="s">
        <v>2870</v>
      </c>
      <c r="C1534" s="5">
        <f>=HYPERLINK("https://nusmods.com/modules/ID2107#timetable","Timetable")</f>
      </c>
      <c r="D1534" s="5">
        <f>=HYPERLINK("https://canvas.nus.edu.sg/courses/25121","Canvas course site")</f>
      </c>
      <c r="E1534" s="5">
        <f>=HYPERLINK("https://luminus.nus.edu.sg/modules/25e672a0-b873-42dc-80c1-670149e45db4","LumiNUS course site")</f>
      </c>
      <c r="F1534" s="0" t="s">
        <v>10</v>
      </c>
      <c r="G1534" s="0" t="s">
        <v>782</v>
      </c>
      <c r="H1534" s="3">
        <v>50</v>
      </c>
    </row>
    <row r="1535">
      <c r="A1535" s="0" t="s">
        <v>2871</v>
      </c>
      <c r="B1535" s="0" t="s">
        <v>2872</v>
      </c>
      <c r="C1535" s="5">
        <f>=HYPERLINK("https://nusmods.com/modules/ID2108#timetable","Timetable")</f>
      </c>
      <c r="D1535" s="5">
        <f>=HYPERLINK("https://canvas.nus.edu.sg/courses/25121","Canvas course site")</f>
      </c>
      <c r="E1535" s="5">
        <f>=HYPERLINK("https://luminus.nus.edu.sg/modules/4ed4fc1d-7103-404f-9dac-9cfd52045e37","LumiNUS course site")</f>
      </c>
      <c r="F1535" s="0" t="s">
        <v>10</v>
      </c>
      <c r="G1535" s="0" t="s">
        <v>782</v>
      </c>
      <c r="H1535" s="3">
        <v>50</v>
      </c>
    </row>
    <row r="1536">
      <c r="A1536" s="0" t="s">
        <v>2873</v>
      </c>
      <c r="B1536" s="0" t="s">
        <v>2874</v>
      </c>
      <c r="C1536" s="5">
        <f>=HYPERLINK("https://nusmods.com/modules/ID2114#timetable","Timetable")</f>
      </c>
      <c r="D1536" s="5">
        <f>=HYPERLINK("https://canvas.nus.edu.sg/courses/25071","Canvas course site")</f>
      </c>
      <c r="E1536" s="5"/>
      <c r="F1536" s="0" t="s">
        <v>10</v>
      </c>
      <c r="G1536" s="0" t="s">
        <v>782</v>
      </c>
      <c r="H1536" s="3">
        <v>10</v>
      </c>
    </row>
    <row r="1537">
      <c r="A1537" s="0" t="s">
        <v>2875</v>
      </c>
      <c r="B1537" s="0" t="s">
        <v>2876</v>
      </c>
      <c r="C1537" s="5">
        <f>=HYPERLINK("https://nusmods.com/modules/ID2117#timetable","Timetable")</f>
      </c>
      <c r="D1537" s="5">
        <f>=HYPERLINK("https://canvas.nus.edu.sg/courses/25076","Canvas course site")</f>
      </c>
      <c r="E1537" s="5"/>
      <c r="F1537" s="0" t="s">
        <v>10</v>
      </c>
      <c r="G1537" s="0" t="s">
        <v>782</v>
      </c>
      <c r="H1537" s="3">
        <v>57</v>
      </c>
    </row>
    <row r="1538">
      <c r="A1538" s="0" t="s">
        <v>2877</v>
      </c>
      <c r="B1538" s="0" t="s">
        <v>2878</v>
      </c>
      <c r="C1538" s="5">
        <f>=HYPERLINK("https://nusmods.com/modules/ID2322#timetable","Timetable")</f>
      </c>
      <c r="D1538" s="5">
        <f>=HYPERLINK("https://canvas.nus.edu.sg/courses/25080","Canvas course site")</f>
      </c>
      <c r="E1538" s="5"/>
      <c r="F1538" s="0" t="s">
        <v>10</v>
      </c>
      <c r="G1538" s="0" t="s">
        <v>782</v>
      </c>
      <c r="H1538" s="3">
        <v>55</v>
      </c>
    </row>
    <row r="1539">
      <c r="A1539" s="0" t="s">
        <v>2879</v>
      </c>
      <c r="B1539" s="0" t="s">
        <v>2880</v>
      </c>
      <c r="C1539" s="5">
        <f>=HYPERLINK("https://nusmods.com/modules/ID3041#timetable","Timetable")</f>
      </c>
      <c r="D1539" s="5"/>
      <c r="E1539" s="5"/>
      <c r="F1539" s="0" t="s">
        <v>10</v>
      </c>
      <c r="G1539" s="0" t="s">
        <v>782</v>
      </c>
      <c r="H1539" s="3">
        <v>2</v>
      </c>
    </row>
    <row r="1540">
      <c r="A1540" s="0" t="s">
        <v>2881</v>
      </c>
      <c r="B1540" s="0" t="s">
        <v>2882</v>
      </c>
      <c r="C1540" s="5">
        <f>=HYPERLINK("https://nusmods.com/modules/ID3105#timetable","Timetable")</f>
      </c>
      <c r="D1540" s="5">
        <f>=HYPERLINK("https://canvas.nus.edu.sg/courses/25121","Canvas course site")</f>
      </c>
      <c r="E1540" s="5">
        <f>=HYPERLINK("https://luminus.nus.edu.sg/modules/b49c10b7-64ab-4aa8-af82-4357f2cb617d","LumiNUS course site")</f>
      </c>
      <c r="F1540" s="0" t="s">
        <v>10</v>
      </c>
      <c r="G1540" s="0" t="s">
        <v>782</v>
      </c>
      <c r="H1540" s="3">
        <v>35</v>
      </c>
    </row>
    <row r="1541">
      <c r="A1541" s="0" t="s">
        <v>2883</v>
      </c>
      <c r="B1541" s="0" t="s">
        <v>2884</v>
      </c>
      <c r="C1541" s="5">
        <f>=HYPERLINK("https://nusmods.com/modules/ID3107#timetable","Timetable")</f>
      </c>
      <c r="D1541" s="5"/>
      <c r="E1541" s="5">
        <f>=HYPERLINK("https://luminus.nus.edu.sg/modules/2960e375-42df-4e5f-831b-d56a40617ca1","LumiNUS course site")</f>
      </c>
      <c r="F1541" s="0" t="s">
        <v>10</v>
      </c>
      <c r="G1541" s="0" t="s">
        <v>782</v>
      </c>
      <c r="H1541" s="3">
        <v>1</v>
      </c>
    </row>
    <row r="1542">
      <c r="A1542" s="0" t="s">
        <v>2885</v>
      </c>
      <c r="B1542" s="0" t="s">
        <v>2886</v>
      </c>
      <c r="C1542" s="5">
        <f>=HYPERLINK("https://nusmods.com/modules/ID3108#timetable","Timetable")</f>
      </c>
      <c r="D1542" s="5"/>
      <c r="E1542" s="5">
        <f>=HYPERLINK("https://luminus.nus.edu.sg/modules/adcdb0de-b839-47ed-bb08-c9bd1d77b490","LumiNUS course site")</f>
      </c>
      <c r="F1542" s="0" t="s">
        <v>10</v>
      </c>
      <c r="G1542" s="0" t="s">
        <v>782</v>
      </c>
      <c r="H1542" s="3">
        <v>1</v>
      </c>
    </row>
    <row r="1543">
      <c r="A1543" s="0" t="s">
        <v>2887</v>
      </c>
      <c r="B1543" s="0" t="s">
        <v>2888</v>
      </c>
      <c r="C1543" s="5">
        <f>=HYPERLINK("https://nusmods.com/modules/ID3124#timetable","Timetable")</f>
      </c>
      <c r="D1543" s="5"/>
      <c r="E1543" s="5">
        <f>=HYPERLINK("https://luminus.nus.edu.sg/modules/3c6882c7-ae3f-4f90-bc14-8bfe76e70afc","LumiNUS course site")</f>
      </c>
      <c r="F1543" s="0" t="s">
        <v>10</v>
      </c>
      <c r="G1543" s="0" t="s">
        <v>782</v>
      </c>
      <c r="H1543" s="3">
        <v>8</v>
      </c>
    </row>
    <row r="1544">
      <c r="A1544" s="0" t="s">
        <v>2889</v>
      </c>
      <c r="B1544" s="0" t="s">
        <v>2890</v>
      </c>
      <c r="C1544" s="5">
        <f>=HYPERLINK("https://nusmods.com/modules/ID3125#timetable","Timetable")</f>
      </c>
      <c r="D1544" s="5">
        <f>=HYPERLINK("https://canvas.nus.edu.sg/courses/25106","Canvas course site")</f>
      </c>
      <c r="E1544" s="5"/>
      <c r="F1544" s="0" t="s">
        <v>10</v>
      </c>
      <c r="G1544" s="0" t="s">
        <v>782</v>
      </c>
      <c r="H1544" s="3">
        <v>23</v>
      </c>
    </row>
    <row r="1545">
      <c r="A1545" s="0" t="s">
        <v>2891</v>
      </c>
      <c r="B1545" s="0" t="s">
        <v>2892</v>
      </c>
      <c r="C1545" s="5">
        <f>=HYPERLINK("https://nusmods.com/modules/ID3126#timetable","Timetable")</f>
      </c>
      <c r="D1545" s="5">
        <f>=HYPERLINK("https://canvas.nus.edu.sg/courses/25112","Canvas course site")</f>
      </c>
      <c r="E1545" s="5"/>
      <c r="F1545" s="0" t="s">
        <v>10</v>
      </c>
      <c r="G1545" s="0" t="s">
        <v>782</v>
      </c>
      <c r="H1545" s="3">
        <v>16</v>
      </c>
    </row>
    <row r="1546">
      <c r="A1546" s="0" t="s">
        <v>2893</v>
      </c>
      <c r="B1546" s="0" t="s">
        <v>2894</v>
      </c>
      <c r="C1546" s="5">
        <f>=HYPERLINK("https://nusmods.com/modules/ID3127#timetable","Timetable")</f>
      </c>
      <c r="D1546" s="5">
        <f>=HYPERLINK("https://canvas.nus.edu.sg/courses/25116","Canvas course site")</f>
      </c>
      <c r="E1546" s="5">
        <f>=HYPERLINK("https://luminus.nus.edu.sg/modules/9145cfd1-fd03-49b8-a3d5-c4feec03e6f6","LumiNUS course site")</f>
      </c>
      <c r="F1546" s="0" t="s">
        <v>10</v>
      </c>
      <c r="G1546" s="0" t="s">
        <v>782</v>
      </c>
      <c r="H1546" s="3">
        <v>12</v>
      </c>
    </row>
    <row r="1547">
      <c r="A1547" s="0" t="s">
        <v>2895</v>
      </c>
      <c r="B1547" s="0" t="s">
        <v>2896</v>
      </c>
      <c r="C1547" s="5">
        <f>=HYPERLINK("https://nusmods.com/modules/ID4105#timetable","Timetable")</f>
      </c>
      <c r="D1547" s="5">
        <f>=HYPERLINK("https://canvas.nus.edu.sg/courses/25121","Canvas course site")</f>
      </c>
      <c r="E1547" s="5">
        <f>=HYPERLINK("https://luminus.nus.edu.sg/modules/33a51111-7ae7-4373-bb51-82ff010965b6","LumiNUS course site")</f>
      </c>
      <c r="F1547" s="0" t="s">
        <v>10</v>
      </c>
      <c r="G1547" s="0" t="s">
        <v>782</v>
      </c>
      <c r="H1547" s="3">
        <v>51</v>
      </c>
    </row>
    <row r="1548">
      <c r="A1548" s="0" t="s">
        <v>2897</v>
      </c>
      <c r="B1548" s="0" t="s">
        <v>2898</v>
      </c>
      <c r="C1548" s="5">
        <f>=HYPERLINK("https://nusmods.com/modules/ID4121#timetable","Timetable")</f>
      </c>
      <c r="D1548" s="5">
        <f>=HYPERLINK("https://canvas.nus.edu.sg/courses/25126","Canvas course site")</f>
      </c>
      <c r="E1548" s="5"/>
      <c r="F1548" s="0" t="s">
        <v>10</v>
      </c>
      <c r="G1548" s="0" t="s">
        <v>782</v>
      </c>
      <c r="H1548" s="3">
        <v>51</v>
      </c>
    </row>
    <row r="1549">
      <c r="A1549" s="0" t="s">
        <v>2899</v>
      </c>
      <c r="B1549" s="0" t="s">
        <v>2900</v>
      </c>
      <c r="C1549" s="5">
        <f>=HYPERLINK("https://nusmods.com/modules/ID5021#timetable","Timetable")</f>
      </c>
      <c r="D1549" s="5"/>
      <c r="E1549" s="5"/>
      <c r="F1549" s="0" t="s">
        <v>10</v>
      </c>
      <c r="G1549" s="0" t="s">
        <v>782</v>
      </c>
      <c r="H1549" s="3">
        <v>2</v>
      </c>
    </row>
    <row r="1550">
      <c r="A1550" s="0" t="s">
        <v>2901</v>
      </c>
      <c r="B1550" s="0" t="s">
        <v>2902</v>
      </c>
      <c r="C1550" s="5">
        <f>=HYPERLINK("https://nusmods.com/modules/ID5151#timetable","Timetable")</f>
      </c>
      <c r="D1550" s="5"/>
      <c r="E1550" s="5"/>
      <c r="F1550" s="0" t="s">
        <v>10</v>
      </c>
      <c r="G1550" s="0" t="s">
        <v>782</v>
      </c>
      <c r="H1550" s="3">
        <v>0</v>
      </c>
    </row>
    <row r="1551">
      <c r="A1551" s="0" t="s">
        <v>2903</v>
      </c>
      <c r="B1551" s="0" t="s">
        <v>2904</v>
      </c>
      <c r="C1551" s="5">
        <f>=HYPERLINK("https://nusmods.com/modules/ID5351#timetable","Timetable")</f>
      </c>
      <c r="D1551" s="5"/>
      <c r="E1551" s="5"/>
      <c r="F1551" s="0" t="s">
        <v>10</v>
      </c>
      <c r="G1551" s="0" t="s">
        <v>782</v>
      </c>
      <c r="H1551" s="3">
        <v>0</v>
      </c>
    </row>
    <row r="1552">
      <c r="A1552" s="0" t="s">
        <v>2905</v>
      </c>
      <c r="B1552" s="0" t="s">
        <v>2906</v>
      </c>
      <c r="C1552" s="5">
        <f>=HYPERLINK("https://nusmods.com/modules/ID5770#timetable","Timetable")</f>
      </c>
      <c r="D1552" s="5"/>
      <c r="E1552" s="5"/>
      <c r="F1552" s="0" t="s">
        <v>10</v>
      </c>
      <c r="G1552" s="0" t="s">
        <v>782</v>
      </c>
      <c r="H1552" s="3">
        <v>1</v>
      </c>
    </row>
    <row r="1553">
      <c r="A1553" s="0" t="s">
        <v>2907</v>
      </c>
      <c r="B1553" s="0" t="s">
        <v>2908</v>
      </c>
      <c r="C1553" s="5">
        <f>=HYPERLINK("https://nusmods.com/modules/ID5951#timetable","Timetable")</f>
      </c>
      <c r="D1553" s="5"/>
      <c r="E1553" s="5"/>
      <c r="F1553" s="0" t="s">
        <v>10</v>
      </c>
      <c r="G1553" s="0" t="s">
        <v>782</v>
      </c>
      <c r="H1553" s="3">
        <v>0</v>
      </c>
    </row>
    <row r="1554">
      <c r="A1554" s="0" t="s">
        <v>2909</v>
      </c>
      <c r="B1554" s="0" t="s">
        <v>2910</v>
      </c>
      <c r="C1554" s="5">
        <f>=HYPERLINK("https://nusmods.com/modules/ID5951A#timetable","Timetable")</f>
      </c>
      <c r="D1554" s="5"/>
      <c r="E1554" s="5"/>
      <c r="F1554" s="0" t="s">
        <v>10</v>
      </c>
      <c r="G1554" s="0" t="s">
        <v>782</v>
      </c>
      <c r="H1554" s="3">
        <v>1</v>
      </c>
    </row>
    <row r="1555">
      <c r="A1555" s="0" t="s">
        <v>2911</v>
      </c>
      <c r="B1555" s="0" t="s">
        <v>2912</v>
      </c>
      <c r="C1555" s="5">
        <f>=HYPERLINK("https://nusmods.com/modules/ID5951B#timetable","Timetable")</f>
      </c>
      <c r="D1555" s="5"/>
      <c r="E1555" s="5"/>
      <c r="F1555" s="0" t="s">
        <v>10</v>
      </c>
      <c r="G1555" s="0" t="s">
        <v>782</v>
      </c>
      <c r="H1555" s="3">
        <v>2</v>
      </c>
    </row>
    <row r="1556">
      <c r="A1556" s="0" t="s">
        <v>2913</v>
      </c>
      <c r="B1556" s="0" t="s">
        <v>2914</v>
      </c>
      <c r="C1556" s="5">
        <f>=HYPERLINK("https://nusmods.com/modules/ID5951C#timetable","Timetable")</f>
      </c>
      <c r="D1556" s="5"/>
      <c r="E1556" s="5"/>
      <c r="F1556" s="0" t="s">
        <v>10</v>
      </c>
      <c r="G1556" s="0" t="s">
        <v>782</v>
      </c>
      <c r="H1556" s="3">
        <v>0</v>
      </c>
    </row>
    <row r="1557">
      <c r="A1557" s="0" t="s">
        <v>2915</v>
      </c>
      <c r="B1557" s="0" t="s">
        <v>2916</v>
      </c>
      <c r="C1557" s="5">
        <f>=HYPERLINK("https://nusmods.com/modules/ID5951D#timetable","Timetable")</f>
      </c>
      <c r="D1557" s="5"/>
      <c r="E1557" s="5"/>
      <c r="F1557" s="0" t="s">
        <v>10</v>
      </c>
      <c r="G1557" s="0" t="s">
        <v>782</v>
      </c>
      <c r="H1557" s="3">
        <v>0</v>
      </c>
    </row>
    <row r="1558">
      <c r="A1558" s="0" t="s">
        <v>2917</v>
      </c>
      <c r="B1558" s="0" t="s">
        <v>2918</v>
      </c>
      <c r="C1558" s="5">
        <f>=HYPERLINK("https://nusmods.com/modules/ID5951E#timetable","Timetable")</f>
      </c>
      <c r="D1558" s="5"/>
      <c r="E1558" s="5"/>
      <c r="F1558" s="0" t="s">
        <v>10</v>
      </c>
      <c r="G1558" s="0" t="s">
        <v>782</v>
      </c>
      <c r="H1558" s="3">
        <v>0</v>
      </c>
    </row>
    <row r="1559">
      <c r="A1559" s="0" t="s">
        <v>2919</v>
      </c>
      <c r="B1559" s="0" t="s">
        <v>2920</v>
      </c>
      <c r="C1559" s="5">
        <f>=HYPERLINK("https://nusmods.com/modules/ID6770#timetable","Timetable")</f>
      </c>
      <c r="D1559" s="5"/>
      <c r="E1559" s="5"/>
      <c r="F1559" s="0" t="s">
        <v>10</v>
      </c>
      <c r="G1559" s="0" t="s">
        <v>782</v>
      </c>
      <c r="H1559" s="3">
        <v>1</v>
      </c>
    </row>
    <row r="1560">
      <c r="A1560" s="0" t="s">
        <v>2921</v>
      </c>
      <c r="B1560" s="0" t="s">
        <v>2922</v>
      </c>
      <c r="C1560" s="5">
        <f>=HYPERLINK("https://nusmods.com/modules/IE1111R#timetable","Timetable")</f>
      </c>
      <c r="D1560" s="5">
        <f>=HYPERLINK("https://canvas.nus.edu.sg/courses/25182","Canvas course site")</f>
      </c>
      <c r="E1560" s="5"/>
      <c r="F1560" s="0" t="s">
        <v>10</v>
      </c>
      <c r="G1560" s="0" t="s">
        <v>2923</v>
      </c>
      <c r="H1560" s="3">
        <v>104</v>
      </c>
    </row>
    <row r="1561">
      <c r="A1561" s="0" t="s">
        <v>2924</v>
      </c>
      <c r="B1561" s="0" t="s">
        <v>2925</v>
      </c>
      <c r="C1561" s="5">
        <f>=HYPERLINK("https://nusmods.com/modules/IE2010E#timetable","Timetable")</f>
      </c>
      <c r="D1561" s="5"/>
      <c r="E1561" s="5">
        <f>=HYPERLINK("https://luminus.nus.edu.sg/modules/940d878c-ba2c-4d00-afad-d3ddf6728be3","LumiNUS course site")</f>
      </c>
      <c r="F1561" s="0" t="s">
        <v>1173</v>
      </c>
      <c r="G1561" s="0" t="s">
        <v>1174</v>
      </c>
      <c r="H1561" s="3">
        <v>0</v>
      </c>
    </row>
    <row r="1562">
      <c r="A1562" s="0" t="s">
        <v>2926</v>
      </c>
      <c r="B1562" s="0" t="s">
        <v>2927</v>
      </c>
      <c r="C1562" s="5">
        <f>=HYPERLINK("https://nusmods.com/modules/IE2110#timetable","Timetable")</f>
      </c>
      <c r="D1562" s="5"/>
      <c r="E1562" s="5">
        <f>=HYPERLINK("https://luminus.nus.edu.sg/modules/deb9ffd0-c0db-42d6-8d00-aaaa9a6433ec","LumiNUS course site")</f>
      </c>
      <c r="F1562" s="0" t="s">
        <v>10</v>
      </c>
      <c r="G1562" s="0" t="s">
        <v>2923</v>
      </c>
      <c r="H1562" s="3">
        <v>109</v>
      </c>
    </row>
    <row r="1563">
      <c r="A1563" s="0" t="s">
        <v>2928</v>
      </c>
      <c r="B1563" s="0" t="s">
        <v>2929</v>
      </c>
      <c r="C1563" s="5">
        <f>=HYPERLINK("https://nusmods.com/modules/IE2130E#timetable","Timetable")</f>
      </c>
      <c r="D1563" s="5">
        <f>=HYPERLINK("https://canvas.nus.edu.sg/courses/24191","Canvas course site")</f>
      </c>
      <c r="E1563" s="5"/>
      <c r="F1563" s="0" t="s">
        <v>1173</v>
      </c>
      <c r="G1563" s="0" t="s">
        <v>1174</v>
      </c>
      <c r="H1563" s="3">
        <v>0</v>
      </c>
    </row>
    <row r="1564">
      <c r="A1564" s="0" t="s">
        <v>2930</v>
      </c>
      <c r="B1564" s="0" t="s">
        <v>2931</v>
      </c>
      <c r="C1564" s="5">
        <f>=HYPERLINK("https://nusmods.com/modules/IE2141#timetable","Timetable")</f>
      </c>
      <c r="D1564" s="5">
        <f>=HYPERLINK("https://canvas.nus.edu.sg/courses/25203","Canvas course site")</f>
      </c>
      <c r="E1564" s="5"/>
      <c r="F1564" s="0" t="s">
        <v>10</v>
      </c>
      <c r="G1564" s="0" t="s">
        <v>2923</v>
      </c>
      <c r="H1564" s="3">
        <v>793</v>
      </c>
    </row>
    <row r="1565">
      <c r="A1565" s="0" t="s">
        <v>2932</v>
      </c>
      <c r="B1565" s="0" t="s">
        <v>2933</v>
      </c>
      <c r="C1565" s="5">
        <f>=HYPERLINK("https://nusmods.com/modules/IE3100M#timetable","Timetable")</f>
      </c>
      <c r="D1565" s="5"/>
      <c r="E1565" s="5">
        <f>=HYPERLINK("https://luminus.nus.edu.sg/modules/f8db4dde-9b08-472e-825f-e5ddb4766842","LumiNUS course site")</f>
      </c>
      <c r="F1565" s="0" t="s">
        <v>10</v>
      </c>
      <c r="G1565" s="0" t="s">
        <v>2923</v>
      </c>
      <c r="H1565" s="3">
        <v>4</v>
      </c>
    </row>
    <row r="1566">
      <c r="A1566" s="0" t="s">
        <v>2934</v>
      </c>
      <c r="B1566" s="0" t="s">
        <v>1700</v>
      </c>
      <c r="C1566" s="5">
        <f>=HYPERLINK("https://nusmods.com/modules/IE3100R#timetable","Timetable")</f>
      </c>
      <c r="D1566" s="5"/>
      <c r="E1566" s="5">
        <f>=HYPERLINK("https://luminus.nus.edu.sg/modules/f8db4dde-9b08-472e-825f-e5ddb4766842","LumiNUS course site")</f>
      </c>
      <c r="F1566" s="0" t="s">
        <v>10</v>
      </c>
      <c r="G1566" s="0" t="s">
        <v>2923</v>
      </c>
      <c r="H1566" s="3">
        <v>54</v>
      </c>
    </row>
    <row r="1567">
      <c r="A1567" s="0" t="s">
        <v>2935</v>
      </c>
      <c r="B1567" s="0" t="s">
        <v>2936</v>
      </c>
      <c r="C1567" s="5">
        <f>=HYPERLINK("https://nusmods.com/modules/IE3101#timetable","Timetable")</f>
      </c>
      <c r="D1567" s="5">
        <f>=HYPERLINK("https://canvas.nus.edu.sg/courses/25218","Canvas course site")</f>
      </c>
      <c r="E1567" s="5">
        <f>=HYPERLINK("https://luminus.nus.edu.sg/modules/543c6d58-e1ba-4e9e-a48f-f26e4aa7d450","LumiNUS course site")</f>
      </c>
      <c r="F1567" s="0" t="s">
        <v>10</v>
      </c>
      <c r="G1567" s="0" t="s">
        <v>2923</v>
      </c>
      <c r="H1567" s="3">
        <v>36</v>
      </c>
    </row>
    <row r="1568">
      <c r="A1568" s="0" t="s">
        <v>2937</v>
      </c>
      <c r="B1568" s="0" t="s">
        <v>2938</v>
      </c>
      <c r="C1568" s="5">
        <f>=HYPERLINK("https://nusmods.com/modules/IE3102#timetable","Timetable")</f>
      </c>
      <c r="D1568" s="5"/>
      <c r="E1568" s="5"/>
      <c r="F1568" s="0" t="s">
        <v>10</v>
      </c>
      <c r="G1568" s="0" t="s">
        <v>2923</v>
      </c>
      <c r="H1568" s="3">
        <v>2</v>
      </c>
    </row>
    <row r="1569">
      <c r="A1569" s="0" t="s">
        <v>2939</v>
      </c>
      <c r="B1569" s="0" t="s">
        <v>2938</v>
      </c>
      <c r="C1569" s="5">
        <f>=HYPERLINK("https://nusmods.com/modules/IE3102A#timetable","Timetable")</f>
      </c>
      <c r="D1569" s="5"/>
      <c r="E1569" s="5"/>
      <c r="F1569" s="0" t="s">
        <v>10</v>
      </c>
      <c r="G1569" s="0" t="s">
        <v>2923</v>
      </c>
      <c r="H1569" s="3">
        <v>1</v>
      </c>
    </row>
    <row r="1570">
      <c r="A1570" s="0" t="s">
        <v>2940</v>
      </c>
      <c r="B1570" s="0" t="s">
        <v>2941</v>
      </c>
      <c r="C1570" s="5">
        <f>=HYPERLINK("https://nusmods.com/modules/IE3105#timetable","Timetable")</f>
      </c>
      <c r="D1570" s="5">
        <f>=HYPERLINK("https://canvas.nus.edu.sg/courses/25233","Canvas course site")</f>
      </c>
      <c r="E1570" s="5"/>
      <c r="F1570" s="0" t="s">
        <v>10</v>
      </c>
      <c r="G1570" s="0" t="s">
        <v>2923</v>
      </c>
      <c r="H1570" s="3">
        <v>17</v>
      </c>
    </row>
    <row r="1571">
      <c r="A1571" s="0" t="s">
        <v>2942</v>
      </c>
      <c r="B1571" s="0" t="s">
        <v>2943</v>
      </c>
      <c r="C1571" s="5">
        <f>=HYPERLINK("https://nusmods.com/modules/IE3110R#timetable","Timetable")</f>
      </c>
      <c r="D1571" s="5">
        <f>=HYPERLINK("https://canvas.nus.edu.sg/courses/25238","Canvas course site")</f>
      </c>
      <c r="E1571" s="5"/>
      <c r="F1571" s="0" t="s">
        <v>10</v>
      </c>
      <c r="G1571" s="0" t="s">
        <v>2923</v>
      </c>
      <c r="H1571" s="3">
        <v>42</v>
      </c>
    </row>
    <row r="1572">
      <c r="A1572" s="0" t="s">
        <v>2944</v>
      </c>
      <c r="B1572" s="0" t="s">
        <v>2945</v>
      </c>
      <c r="C1572" s="5">
        <f>=HYPERLINK("https://nusmods.com/modules/IE4100R#timetable","Timetable")</f>
      </c>
      <c r="D1572" s="5"/>
      <c r="E1572" s="5">
        <f>=HYPERLINK("https://luminus.nus.edu.sg/modules/8e49b385-a73e-4f9e-b77c-2bc71f8e0676","LumiNUS course site")</f>
      </c>
      <c r="F1572" s="0" t="s">
        <v>10</v>
      </c>
      <c r="G1572" s="0" t="s">
        <v>2923</v>
      </c>
      <c r="H1572" s="3">
        <v>40</v>
      </c>
    </row>
    <row r="1573">
      <c r="A1573" s="0" t="s">
        <v>2946</v>
      </c>
      <c r="B1573" s="0" t="s">
        <v>365</v>
      </c>
      <c r="C1573" s="5">
        <f>=HYPERLINK("https://nusmods.com/modules/IE4102#timetable","Timetable")</f>
      </c>
      <c r="D1573" s="5"/>
      <c r="E1573" s="5">
        <f>=HYPERLINK("https://luminus.nus.edu.sg/modules/8e49b385-a73e-4f9e-b77c-2bc71f8e0676","LumiNUS course site")</f>
      </c>
      <c r="F1573" s="0" t="s">
        <v>10</v>
      </c>
      <c r="G1573" s="0" t="s">
        <v>2923</v>
      </c>
      <c r="H1573" s="3">
        <v>20</v>
      </c>
    </row>
    <row r="1574">
      <c r="A1574" s="0" t="s">
        <v>2947</v>
      </c>
      <c r="B1574" s="0" t="s">
        <v>2948</v>
      </c>
      <c r="C1574" s="5">
        <f>=HYPERLINK("https://nusmods.com/modules/IE4215#timetable","Timetable")</f>
      </c>
      <c r="D1574" s="5">
        <f>=HYPERLINK("https://canvas.nus.edu.sg/courses/26649","Canvas course site")</f>
      </c>
      <c r="E1574" s="5"/>
      <c r="F1574" s="0" t="s">
        <v>10</v>
      </c>
      <c r="G1574" s="0" t="s">
        <v>2923</v>
      </c>
      <c r="H1574" s="3">
        <v>8</v>
      </c>
    </row>
    <row r="1575">
      <c r="A1575" s="0" t="s">
        <v>2949</v>
      </c>
      <c r="B1575" s="0" t="s">
        <v>2950</v>
      </c>
      <c r="C1575" s="5">
        <f>=HYPERLINK("https://nusmods.com/modules/IE4240#timetable","Timetable")</f>
      </c>
      <c r="D1575" s="5">
        <f>=HYPERLINK("https://canvas.nus.edu.sg/courses/24216","Canvas course site")</f>
      </c>
      <c r="E1575" s="5">
        <f>=HYPERLINK("https://luminus.nus.edu.sg/modules/a0717a5b-008b-468a-ae9f-6866d61ee8e0","LumiNUS course site")</f>
      </c>
      <c r="F1575" s="0" t="s">
        <v>10</v>
      </c>
      <c r="G1575" s="0" t="s">
        <v>2923</v>
      </c>
      <c r="H1575" s="3">
        <v>44</v>
      </c>
    </row>
    <row r="1576">
      <c r="A1576" s="0" t="s">
        <v>2951</v>
      </c>
      <c r="B1576" s="0" t="s">
        <v>2952</v>
      </c>
      <c r="C1576" s="5">
        <f>=HYPERLINK("https://nusmods.com/modules/IE4248#timetable","Timetable")</f>
      </c>
      <c r="D1576" s="5"/>
      <c r="E1576" s="5">
        <f>=HYPERLINK("https://luminus.nus.edu.sg/modules/b1df2d73-8c30-47ad-b171-8043a4658795","LumiNUS course site")</f>
      </c>
      <c r="F1576" s="0" t="s">
        <v>10</v>
      </c>
      <c r="G1576" s="0" t="s">
        <v>2923</v>
      </c>
      <c r="H1576" s="3">
        <v>20</v>
      </c>
    </row>
    <row r="1577">
      <c r="A1577" s="0" t="s">
        <v>2953</v>
      </c>
      <c r="B1577" s="0" t="s">
        <v>2954</v>
      </c>
      <c r="C1577" s="5">
        <f>=HYPERLINK("https://nusmods.com/modules/IE5001#timetable","Timetable")</f>
      </c>
      <c r="D1577" s="5"/>
      <c r="E1577" s="5">
        <f>=HYPERLINK("https://luminus.nus.edu.sg/modules/91887e4c-71fc-4e10-bf23-b3e25dcd4b4a","LumiNUS course site")</f>
      </c>
      <c r="F1577" s="0" t="s">
        <v>10</v>
      </c>
      <c r="G1577" s="0" t="s">
        <v>2923</v>
      </c>
      <c r="H1577" s="3">
        <v>177</v>
      </c>
    </row>
    <row r="1578">
      <c r="A1578" s="0" t="s">
        <v>2955</v>
      </c>
      <c r="B1578" s="0" t="s">
        <v>2956</v>
      </c>
      <c r="C1578" s="5">
        <f>=HYPERLINK("https://nusmods.com/modules/IE5004#timetable","Timetable")</f>
      </c>
      <c r="D1578" s="5">
        <f>=HYPERLINK("https://canvas.nus.edu.sg/courses/25274","Canvas course site")</f>
      </c>
      <c r="E1578" s="5"/>
      <c r="F1578" s="0" t="s">
        <v>10</v>
      </c>
      <c r="G1578" s="0" t="s">
        <v>2923</v>
      </c>
      <c r="H1578" s="3">
        <v>187</v>
      </c>
    </row>
    <row r="1579">
      <c r="A1579" s="0" t="s">
        <v>2957</v>
      </c>
      <c r="B1579" s="0" t="s">
        <v>2958</v>
      </c>
      <c r="C1579" s="5">
        <f>=HYPERLINK("https://nusmods.com/modules/IE5005#timetable","Timetable")</f>
      </c>
      <c r="D1579" s="5">
        <f>=HYPERLINK("https://canvas.nus.edu.sg/courses/25279","Canvas course site")</f>
      </c>
      <c r="E1579" s="5"/>
      <c r="F1579" s="0" t="s">
        <v>10</v>
      </c>
      <c r="G1579" s="0" t="s">
        <v>2923</v>
      </c>
      <c r="H1579" s="3">
        <v>265</v>
      </c>
    </row>
    <row r="1580">
      <c r="A1580" s="0" t="s">
        <v>2959</v>
      </c>
      <c r="B1580" s="0" t="s">
        <v>2960</v>
      </c>
      <c r="C1580" s="5">
        <f>=HYPERLINK("https://nusmods.com/modules/IE5105#timetable","Timetable")</f>
      </c>
      <c r="D1580" s="5"/>
      <c r="E1580" s="5">
        <f>=HYPERLINK("https://luminus.nus.edu.sg/modules/e51a96af-bc2e-4c7a-9f15-f43f16cdf6ad","LumiNUS course site")</f>
      </c>
      <c r="F1580" s="0" t="s">
        <v>10</v>
      </c>
      <c r="G1580" s="0" t="s">
        <v>2923</v>
      </c>
      <c r="H1580" s="3">
        <v>145</v>
      </c>
    </row>
    <row r="1581">
      <c r="A1581" s="0" t="s">
        <v>2961</v>
      </c>
      <c r="B1581" s="0" t="s">
        <v>2962</v>
      </c>
      <c r="C1581" s="5">
        <f>=HYPERLINK("https://nusmods.com/modules/IE5123#timetable","Timetable")</f>
      </c>
      <c r="D1581" s="5"/>
      <c r="E1581" s="5">
        <f>=HYPERLINK("https://luminus.nus.edu.sg/modules/b15d19a7-d19d-492d-aed7-a70ea160e4e9","LumiNUS course site")</f>
      </c>
      <c r="F1581" s="0" t="s">
        <v>10</v>
      </c>
      <c r="G1581" s="0" t="s">
        <v>2923</v>
      </c>
      <c r="H1581" s="3">
        <v>15</v>
      </c>
    </row>
    <row r="1582">
      <c r="A1582" s="0" t="s">
        <v>2963</v>
      </c>
      <c r="B1582" s="0" t="s">
        <v>2964</v>
      </c>
      <c r="C1582" s="5">
        <f>=HYPERLINK("https://nusmods.com/modules/IE5203#timetable","Timetable")</f>
      </c>
      <c r="D1582" s="5"/>
      <c r="E1582" s="5">
        <f>=HYPERLINK("https://luminus.nus.edu.sg/modules/a17245ce-4d60-483a-8fd5-9289aac401f8","LumiNUS course site")</f>
      </c>
      <c r="F1582" s="0" t="s">
        <v>10</v>
      </c>
      <c r="G1582" s="0" t="s">
        <v>2923</v>
      </c>
      <c r="H1582" s="3">
        <v>139</v>
      </c>
    </row>
    <row r="1583">
      <c r="A1583" s="0" t="s">
        <v>2965</v>
      </c>
      <c r="B1583" s="0" t="s">
        <v>2966</v>
      </c>
      <c r="C1583" s="5">
        <f>=HYPERLINK("https://nusmods.com/modules/IE5206#timetable","Timetable")</f>
      </c>
      <c r="D1583" s="5"/>
      <c r="E1583" s="5">
        <f>=HYPERLINK("https://luminus.nus.edu.sg/modules/07a86eba-ee3f-4801-a8f4-e26b15a4e95e","LumiNUS course site")</f>
      </c>
      <c r="F1583" s="0" t="s">
        <v>10</v>
      </c>
      <c r="G1583" s="0" t="s">
        <v>2923</v>
      </c>
      <c r="H1583" s="3">
        <v>19</v>
      </c>
    </row>
    <row r="1584">
      <c r="A1584" s="0" t="s">
        <v>2967</v>
      </c>
      <c r="B1584" s="0" t="s">
        <v>2968</v>
      </c>
      <c r="C1584" s="5">
        <f>=HYPERLINK("https://nusmods.com/modules/IE5208#timetable","Timetable")</f>
      </c>
      <c r="D1584" s="5">
        <f>=HYPERLINK("https://canvas.nus.edu.sg/courses/25304","Canvas course site")</f>
      </c>
      <c r="E1584" s="5">
        <f>=HYPERLINK("https://luminus.nus.edu.sg/modules/8a473c71-02fa-4987-8596-9dcffae7963d","LumiNUS course site")</f>
      </c>
      <c r="F1584" s="0" t="s">
        <v>10</v>
      </c>
      <c r="G1584" s="0" t="s">
        <v>2923</v>
      </c>
      <c r="H1584" s="3">
        <v>77</v>
      </c>
    </row>
    <row r="1585">
      <c r="A1585" s="0" t="s">
        <v>2969</v>
      </c>
      <c r="B1585" s="0" t="s">
        <v>2970</v>
      </c>
      <c r="C1585" s="5">
        <f>=HYPERLINK("https://nusmods.com/modules/IE5213#timetable","Timetable")</f>
      </c>
      <c r="D1585" s="5"/>
      <c r="E1585" s="5">
        <f>=HYPERLINK("https://luminus.nus.edu.sg/modules/1efdb99b-3379-4f32-9722-cab9a083ecd9","LumiNUS course site")</f>
      </c>
      <c r="F1585" s="0" t="s">
        <v>10</v>
      </c>
      <c r="G1585" s="0" t="s">
        <v>2923</v>
      </c>
      <c r="H1585" s="3">
        <v>60</v>
      </c>
    </row>
    <row r="1586">
      <c r="A1586" s="0" t="s">
        <v>2971</v>
      </c>
      <c r="B1586" s="0" t="s">
        <v>2972</v>
      </c>
      <c r="C1586" s="5">
        <f>=HYPERLINK("https://nusmods.com/modules/IE5231#timetable","Timetable")</f>
      </c>
      <c r="D1586" s="5">
        <f>=HYPERLINK("https://canvas.nus.edu.sg/courses/25314","Canvas course site")</f>
      </c>
      <c r="E1586" s="5"/>
      <c r="F1586" s="0" t="s">
        <v>10</v>
      </c>
      <c r="G1586" s="0" t="s">
        <v>2923</v>
      </c>
      <c r="H1586" s="3">
        <v>44</v>
      </c>
    </row>
    <row r="1587">
      <c r="A1587" s="0" t="s">
        <v>2973</v>
      </c>
      <c r="B1587" s="0" t="s">
        <v>2974</v>
      </c>
      <c r="C1587" s="5">
        <f>=HYPERLINK("https://nusmods.com/modules/IE5301#timetable","Timetable")</f>
      </c>
      <c r="D1587" s="5"/>
      <c r="E1587" s="5">
        <f>=HYPERLINK("https://luminus.nus.edu.sg/modules/39b4d3e2-5b54-4627-bb0e-adaab7d37e29","LumiNUS course site")</f>
      </c>
      <c r="F1587" s="0" t="s">
        <v>10</v>
      </c>
      <c r="G1587" s="0" t="s">
        <v>2923</v>
      </c>
      <c r="H1587" s="3">
        <v>62</v>
      </c>
    </row>
    <row r="1588">
      <c r="A1588" s="0" t="s">
        <v>2975</v>
      </c>
      <c r="B1588" s="0" t="s">
        <v>2976</v>
      </c>
      <c r="C1588" s="5">
        <f>=HYPERLINK("https://nusmods.com/modules/IE5600#timetable","Timetable")</f>
      </c>
      <c r="D1588" s="5">
        <f>=HYPERLINK("https://canvas.nus.edu.sg/courses/25324","Canvas course site")</f>
      </c>
      <c r="E1588" s="5"/>
      <c r="F1588" s="0" t="s">
        <v>10</v>
      </c>
      <c r="G1588" s="0" t="s">
        <v>2923</v>
      </c>
      <c r="H1588" s="3">
        <v>143</v>
      </c>
    </row>
    <row r="1589">
      <c r="A1589" s="0" t="s">
        <v>2977</v>
      </c>
      <c r="B1589" s="0" t="s">
        <v>647</v>
      </c>
      <c r="C1589" s="5">
        <f>=HYPERLINK("https://nusmods.com/modules/IE5666#timetable","Timetable")</f>
      </c>
      <c r="D1589" s="5"/>
      <c r="E1589" s="5"/>
      <c r="F1589" s="0" t="s">
        <v>10</v>
      </c>
      <c r="G1589" s="0" t="s">
        <v>2923</v>
      </c>
      <c r="H1589" s="3">
        <v>0</v>
      </c>
    </row>
    <row r="1590">
      <c r="A1590" s="0" t="s">
        <v>2978</v>
      </c>
      <c r="B1590" s="0" t="s">
        <v>2979</v>
      </c>
      <c r="C1590" s="5">
        <f>=HYPERLINK("https://nusmods.com/modules/IE5903#timetable","Timetable")</f>
      </c>
      <c r="D1590" s="5"/>
      <c r="E1590" s="5"/>
      <c r="F1590" s="0" t="s">
        <v>10</v>
      </c>
      <c r="G1590" s="0" t="s">
        <v>2923</v>
      </c>
      <c r="H1590" s="3">
        <v>0</v>
      </c>
    </row>
    <row r="1591">
      <c r="A1591" s="0" t="s">
        <v>2980</v>
      </c>
      <c r="B1591" s="0" t="s">
        <v>2981</v>
      </c>
      <c r="C1591" s="5">
        <f>=HYPERLINK("https://nusmods.com/modules/IE5904A#timetable","Timetable")</f>
      </c>
      <c r="D1591" s="5"/>
      <c r="E1591" s="5"/>
      <c r="F1591" s="0" t="s">
        <v>10</v>
      </c>
      <c r="G1591" s="0" t="s">
        <v>2923</v>
      </c>
      <c r="H1591" s="3">
        <v>0</v>
      </c>
    </row>
    <row r="1592">
      <c r="A1592" s="0" t="s">
        <v>2982</v>
      </c>
      <c r="B1592" s="0" t="s">
        <v>2983</v>
      </c>
      <c r="C1592" s="5">
        <f>=HYPERLINK("https://nusmods.com/modules/IE5905#timetable","Timetable")</f>
      </c>
      <c r="D1592" s="5"/>
      <c r="E1592" s="5"/>
      <c r="F1592" s="0" t="s">
        <v>10</v>
      </c>
      <c r="G1592" s="0" t="s">
        <v>2923</v>
      </c>
      <c r="H1592" s="3">
        <v>0</v>
      </c>
    </row>
    <row r="1593">
      <c r="A1593" s="0" t="s">
        <v>2984</v>
      </c>
      <c r="B1593" s="0" t="s">
        <v>2985</v>
      </c>
      <c r="C1593" s="5">
        <f>=HYPERLINK("https://nusmods.com/modules/IE5906A#timetable","Timetable")</f>
      </c>
      <c r="D1593" s="5"/>
      <c r="E1593" s="5"/>
      <c r="F1593" s="0" t="s">
        <v>10</v>
      </c>
      <c r="G1593" s="0" t="s">
        <v>2923</v>
      </c>
      <c r="H1593" s="3">
        <v>0</v>
      </c>
    </row>
    <row r="1594">
      <c r="A1594" s="0" t="s">
        <v>2986</v>
      </c>
      <c r="B1594" s="0" t="s">
        <v>2987</v>
      </c>
      <c r="C1594" s="5">
        <f>=HYPERLINK("https://nusmods.com/modules/IE5907#timetable","Timetable")</f>
      </c>
      <c r="D1594" s="5"/>
      <c r="E1594" s="5"/>
      <c r="F1594" s="0" t="s">
        <v>10</v>
      </c>
      <c r="G1594" s="0" t="s">
        <v>2923</v>
      </c>
      <c r="H1594" s="3">
        <v>0</v>
      </c>
    </row>
    <row r="1595">
      <c r="A1595" s="0" t="s">
        <v>2988</v>
      </c>
      <c r="B1595" s="0" t="s">
        <v>2989</v>
      </c>
      <c r="C1595" s="5">
        <f>=HYPERLINK("https://nusmods.com/modules/IE5908A#timetable","Timetable")</f>
      </c>
      <c r="D1595" s="5"/>
      <c r="E1595" s="5"/>
      <c r="F1595" s="0" t="s">
        <v>10</v>
      </c>
      <c r="G1595" s="0" t="s">
        <v>2923</v>
      </c>
      <c r="H1595" s="3">
        <v>0</v>
      </c>
    </row>
    <row r="1596">
      <c r="A1596" s="0" t="s">
        <v>2990</v>
      </c>
      <c r="B1596" s="0" t="s">
        <v>2991</v>
      </c>
      <c r="C1596" s="5">
        <f>=HYPERLINK("https://nusmods.com/modules/IE5909A#timetable","Timetable")</f>
      </c>
      <c r="D1596" s="5"/>
      <c r="E1596" s="5"/>
      <c r="F1596" s="0" t="s">
        <v>10</v>
      </c>
      <c r="G1596" s="0" t="s">
        <v>2923</v>
      </c>
      <c r="H1596" s="3">
        <v>8</v>
      </c>
    </row>
    <row r="1597">
      <c r="A1597" s="0" t="s">
        <v>2992</v>
      </c>
      <c r="B1597" s="0" t="s">
        <v>649</v>
      </c>
      <c r="C1597" s="5">
        <f>=HYPERLINK("https://nusmods.com/modules/IE5999#timetable","Timetable")</f>
      </c>
      <c r="D1597" s="5"/>
      <c r="E1597" s="5"/>
      <c r="F1597" s="0" t="s">
        <v>10</v>
      </c>
      <c r="G1597" s="0" t="s">
        <v>2923</v>
      </c>
      <c r="H1597" s="3">
        <v>5</v>
      </c>
    </row>
    <row r="1598">
      <c r="A1598" s="0" t="s">
        <v>2993</v>
      </c>
      <c r="B1598" s="0" t="s">
        <v>2994</v>
      </c>
      <c r="C1598" s="5">
        <f>=HYPERLINK("https://nusmods.com/modules/IE6001#timetable","Timetable")</f>
      </c>
      <c r="D1598" s="5">
        <f>=HYPERLINK("https://canvas.nus.edu.sg/courses/25370","Canvas course site")</f>
      </c>
      <c r="E1598" s="5"/>
      <c r="F1598" s="0" t="s">
        <v>10</v>
      </c>
      <c r="G1598" s="0" t="s">
        <v>2923</v>
      </c>
      <c r="H1598" s="3">
        <v>33</v>
      </c>
    </row>
    <row r="1599">
      <c r="A1599" s="0" t="s">
        <v>2995</v>
      </c>
      <c r="B1599" s="0" t="s">
        <v>2996</v>
      </c>
      <c r="C1599" s="5">
        <f>=HYPERLINK("https://nusmods.com/modules/IE6002#timetable","Timetable")</f>
      </c>
      <c r="D1599" s="5">
        <f>=HYPERLINK("https://canvas.nus.edu.sg/courses/25375","Canvas course site")</f>
      </c>
      <c r="E1599" s="5"/>
      <c r="F1599" s="0" t="s">
        <v>10</v>
      </c>
      <c r="G1599" s="0" t="s">
        <v>2923</v>
      </c>
      <c r="H1599" s="3">
        <v>8</v>
      </c>
    </row>
    <row r="1600">
      <c r="A1600" s="0" t="s">
        <v>2997</v>
      </c>
      <c r="B1600" s="0" t="s">
        <v>651</v>
      </c>
      <c r="C1600" s="5">
        <f>=HYPERLINK("https://nusmods.com/modules/IE6999#timetable","Timetable")</f>
      </c>
      <c r="D1600" s="5"/>
      <c r="E1600" s="5"/>
      <c r="F1600" s="0" t="s">
        <v>10</v>
      </c>
      <c r="G1600" s="0" t="s">
        <v>2923</v>
      </c>
      <c r="H1600" s="3">
        <v>47</v>
      </c>
    </row>
    <row r="1601">
      <c r="A1601" s="0" t="s">
        <v>2998</v>
      </c>
      <c r="B1601" s="0" t="s">
        <v>2999</v>
      </c>
      <c r="C1601" s="5">
        <f>=HYPERLINK("https://nusmods.com/modules/IFS4103#timetable","Timetable")</f>
      </c>
      <c r="D1601" s="5"/>
      <c r="E1601" s="5">
        <f>=HYPERLINK("https://luminus.nus.edu.sg/modules/49c91325-9c9a-4be7-9e8c-1b6ccdbf44af","LumiNUS course site")</f>
      </c>
      <c r="F1601" s="0" t="s">
        <v>724</v>
      </c>
      <c r="G1601" s="0" t="s">
        <v>762</v>
      </c>
      <c r="H1601" s="3">
        <v>23</v>
      </c>
    </row>
    <row r="1602">
      <c r="A1602" s="0" t="s">
        <v>3000</v>
      </c>
      <c r="B1602" s="0" t="s">
        <v>3001</v>
      </c>
      <c r="C1602" s="5">
        <f>=HYPERLINK("https://nusmods.com/modules/IFS4205#timetable","Timetable")</f>
      </c>
      <c r="D1602" s="5"/>
      <c r="E1602" s="5">
        <f>=HYPERLINK("https://luminus.nus.edu.sg/modules/5fead846-9837-428d-9a5e-408bc4a89869","LumiNUS course site")</f>
      </c>
      <c r="F1602" s="0" t="s">
        <v>724</v>
      </c>
      <c r="G1602" s="0" t="s">
        <v>762</v>
      </c>
      <c r="H1602" s="3">
        <v>16</v>
      </c>
    </row>
    <row r="1603">
      <c r="A1603" s="0" t="s">
        <v>3002</v>
      </c>
      <c r="B1603" s="0" t="s">
        <v>3003</v>
      </c>
      <c r="C1603" s="5">
        <f>=HYPERLINK("https://nusmods.com/modules/IGL3550#timetable","Timetable")</f>
      </c>
      <c r="D1603" s="5"/>
      <c r="E1603" s="5"/>
      <c r="F1603" s="0" t="s">
        <v>73</v>
      </c>
      <c r="G1603" s="0" t="s">
        <v>2554</v>
      </c>
      <c r="H1603" s="3">
        <v>0</v>
      </c>
    </row>
    <row r="1604">
      <c r="A1604" s="0" t="s">
        <v>3004</v>
      </c>
      <c r="B1604" s="0" t="s">
        <v>3005</v>
      </c>
      <c r="C1604" s="5">
        <f>=HYPERLINK("https://nusmods.com/modules/IND5001#timetable","Timetable")</f>
      </c>
      <c r="D1604" s="5">
        <f>=HYPERLINK("https://canvas.nus.edu.sg/courses/25402","Canvas course site")</f>
      </c>
      <c r="E1604" s="5"/>
      <c r="F1604" s="0" t="s">
        <v>28</v>
      </c>
      <c r="G1604" s="0" t="s">
        <v>228</v>
      </c>
      <c r="H1604" s="3">
        <v>63</v>
      </c>
    </row>
    <row r="1605">
      <c r="A1605" s="0" t="s">
        <v>3006</v>
      </c>
      <c r="B1605" s="0" t="s">
        <v>3007</v>
      </c>
      <c r="C1605" s="5">
        <f>=HYPERLINK("https://nusmods.com/modules/IND5002#timetable","Timetable")</f>
      </c>
      <c r="D1605" s="5">
        <f>=HYPERLINK("https://canvas.nus.edu.sg/courses/25407","Canvas course site")</f>
      </c>
      <c r="E1605" s="5"/>
      <c r="F1605" s="0" t="s">
        <v>10</v>
      </c>
      <c r="G1605" s="0" t="s">
        <v>3008</v>
      </c>
      <c r="H1605" s="3">
        <v>57</v>
      </c>
    </row>
    <row r="1606">
      <c r="A1606" s="0" t="s">
        <v>3009</v>
      </c>
      <c r="B1606" s="0" t="s">
        <v>3010</v>
      </c>
      <c r="C1606" s="5">
        <f>=HYPERLINK("https://nusmods.com/modules/IND5003#timetable","Timetable")</f>
      </c>
      <c r="D1606" s="5">
        <f>=HYPERLINK("https://canvas.nus.edu.sg/courses/25413","Canvas course site")</f>
      </c>
      <c r="E1606" s="5"/>
      <c r="F1606" s="0" t="s">
        <v>266</v>
      </c>
      <c r="G1606" s="0" t="s">
        <v>1616</v>
      </c>
      <c r="H1606" s="3">
        <v>60</v>
      </c>
    </row>
    <row r="1607">
      <c r="A1607" s="0" t="s">
        <v>3011</v>
      </c>
      <c r="B1607" s="0" t="s">
        <v>3012</v>
      </c>
      <c r="C1607" s="5">
        <f>=HYPERLINK("https://nusmods.com/modules/IND5005#timetable","Timetable")</f>
      </c>
      <c r="D1607" s="5">
        <f>=HYPERLINK("https://canvas.nus.edu.sg/courses/25423","Canvas course site")</f>
      </c>
      <c r="E1607" s="5"/>
      <c r="F1607" s="0" t="s">
        <v>1173</v>
      </c>
      <c r="G1607" s="0" t="s">
        <v>1174</v>
      </c>
      <c r="H1607" s="3">
        <v>0</v>
      </c>
    </row>
    <row r="1608">
      <c r="A1608" s="0" t="s">
        <v>3013</v>
      </c>
      <c r="B1608" s="0" t="s">
        <v>3014</v>
      </c>
      <c r="C1608" s="5">
        <f>=HYPERLINK("https://nusmods.com/modules/IND5005A#timetable","Timetable")</f>
      </c>
      <c r="D1608" s="5">
        <f>=HYPERLINK("https://canvas.nus.edu.sg/courses/25423","Canvas course site")</f>
      </c>
      <c r="E1608" s="5"/>
      <c r="F1608" s="0" t="s">
        <v>1173</v>
      </c>
      <c r="G1608" s="0" t="s">
        <v>1174</v>
      </c>
      <c r="H1608" s="3">
        <v>59</v>
      </c>
    </row>
    <row r="1609">
      <c r="A1609" s="0" t="s">
        <v>3015</v>
      </c>
      <c r="B1609" s="0" t="s">
        <v>3012</v>
      </c>
      <c r="C1609" s="5">
        <f>=HYPERLINK("https://nusmods.com/modules/IND5005B#timetable","Timetable")</f>
      </c>
      <c r="D1609" s="5"/>
      <c r="E1609" s="5"/>
      <c r="F1609" s="0" t="s">
        <v>1173</v>
      </c>
      <c r="G1609" s="0" t="s">
        <v>1174</v>
      </c>
      <c r="H1609" s="3">
        <v>28</v>
      </c>
    </row>
    <row r="1610">
      <c r="A1610" s="0" t="s">
        <v>3016</v>
      </c>
      <c r="B1610" s="0" t="s">
        <v>3017</v>
      </c>
      <c r="C1610" s="5">
        <f>=HYPERLINK("https://nusmods.com/modules/IND5022#timetable","Timetable")</f>
      </c>
      <c r="D1610" s="5"/>
      <c r="E1610" s="5">
        <f>=HYPERLINK("https://luminus.nus.edu.sg/modules/003fe1d6-4c1c-48f4-9d4b-d5522d0e6031","LumiNUS course site")</f>
      </c>
      <c r="F1610" s="0" t="s">
        <v>28</v>
      </c>
      <c r="G1610" s="0" t="s">
        <v>228</v>
      </c>
      <c r="H1610" s="3">
        <v>51</v>
      </c>
    </row>
    <row r="1611">
      <c r="A1611" s="0" t="s">
        <v>3018</v>
      </c>
      <c r="B1611" s="0" t="s">
        <v>3019</v>
      </c>
      <c r="C1611" s="5">
        <f>=HYPERLINK("https://nusmods.com/modules/IND5024#timetable","Timetable")</f>
      </c>
      <c r="D1611" s="5"/>
      <c r="E1611" s="5">
        <f>=HYPERLINK("https://luminus.nus.edu.sg/modules/50881ff5-04c0-4a12-9cd1-b3542b90ac7f","LumiNUS course site")</f>
      </c>
      <c r="F1611" s="0" t="s">
        <v>28</v>
      </c>
      <c r="G1611" s="0" t="s">
        <v>228</v>
      </c>
      <c r="H1611" s="3">
        <v>36</v>
      </c>
    </row>
    <row r="1612">
      <c r="A1612" s="0" t="s">
        <v>3020</v>
      </c>
      <c r="B1612" s="0" t="s">
        <v>3021</v>
      </c>
      <c r="C1612" s="5">
        <f>=HYPERLINK("https://nusmods.com/modules/INT2101#timetable","Timetable")</f>
      </c>
      <c r="D1612" s="5"/>
      <c r="E1612" s="5">
        <f>=HYPERLINK("https://luminus.nus.edu.sg/modules/b59f5b74-015b-4902-bc2b-8e4675a55db4","LumiNUS course site")</f>
      </c>
      <c r="F1612" s="0" t="s">
        <v>73</v>
      </c>
      <c r="G1612" s="0" t="s">
        <v>952</v>
      </c>
      <c r="H1612" s="3">
        <v>19</v>
      </c>
    </row>
    <row r="1613">
      <c r="A1613" s="0" t="s">
        <v>3022</v>
      </c>
      <c r="B1613" s="0" t="s">
        <v>3023</v>
      </c>
      <c r="C1613" s="5">
        <f>=HYPERLINK("https://nusmods.com/modules/INT3202#timetable","Timetable")</f>
      </c>
      <c r="D1613" s="5"/>
      <c r="E1613" s="5">
        <f>=HYPERLINK("https://luminus.nus.edu.sg/modules/86767520-d2af-4e44-9962-cba95627a294","LumiNUS course site")</f>
      </c>
      <c r="F1613" s="0" t="s">
        <v>73</v>
      </c>
      <c r="G1613" s="0" t="s">
        <v>952</v>
      </c>
      <c r="H1613" s="3">
        <v>6</v>
      </c>
    </row>
    <row r="1614">
      <c r="A1614" s="0" t="s">
        <v>3024</v>
      </c>
      <c r="B1614" s="0" t="s">
        <v>3025</v>
      </c>
      <c r="C1614" s="5">
        <f>=HYPERLINK("https://nusmods.com/modules/IPM1102#timetable","Timetable")</f>
      </c>
      <c r="D1614" s="5">
        <f>=HYPERLINK("https://canvas.nus.edu.sg/courses/23447","Canvas course site")</f>
      </c>
      <c r="E1614" s="5"/>
      <c r="F1614" s="0" t="s">
        <v>10</v>
      </c>
      <c r="G1614" s="0" t="s">
        <v>660</v>
      </c>
      <c r="H1614" s="3">
        <v>34</v>
      </c>
    </row>
    <row r="1615">
      <c r="A1615" s="0" t="s">
        <v>3026</v>
      </c>
      <c r="B1615" s="0" t="s">
        <v>3027</v>
      </c>
      <c r="C1615" s="5">
        <f>=HYPERLINK("https://nusmods.com/modules/IPM2102#timetable","Timetable")</f>
      </c>
      <c r="D1615" s="5">
        <f>=HYPERLINK("https://canvas.nus.edu.sg/courses/27151","Canvas course site")</f>
      </c>
      <c r="E1615" s="5"/>
      <c r="F1615" s="0" t="s">
        <v>10</v>
      </c>
      <c r="G1615" s="0" t="s">
        <v>660</v>
      </c>
      <c r="H1615" s="3">
        <v>4</v>
      </c>
    </row>
    <row r="1616">
      <c r="A1616" s="0" t="s">
        <v>3028</v>
      </c>
      <c r="B1616" s="0" t="s">
        <v>3029</v>
      </c>
      <c r="C1616" s="5">
        <f>=HYPERLINK("https://nusmods.com/modules/IPM4201#timetable","Timetable")</f>
      </c>
      <c r="D1616" s="5"/>
      <c r="E1616" s="5">
        <f>=HYPERLINK("https://luminus.nus.edu.sg/modules/02298ac0-2df0-4a09-828c-32d005a8d9de","LumiNUS course site")</f>
      </c>
      <c r="F1616" s="0" t="s">
        <v>10</v>
      </c>
      <c r="G1616" s="0" t="s">
        <v>660</v>
      </c>
      <c r="H1616" s="3">
        <v>0</v>
      </c>
    </row>
    <row r="1617">
      <c r="A1617" s="0" t="s">
        <v>3030</v>
      </c>
      <c r="B1617" s="0" t="s">
        <v>3031</v>
      </c>
      <c r="C1617" s="5">
        <f>=HYPERLINK("https://nusmods.com/modules/IPS3550#timetable","Timetable")</f>
      </c>
      <c r="D1617" s="5"/>
      <c r="E1617" s="5"/>
      <c r="F1617" s="0" t="s">
        <v>73</v>
      </c>
      <c r="G1617" s="0" t="s">
        <v>2554</v>
      </c>
      <c r="H1617" s="3">
        <v>1</v>
      </c>
    </row>
    <row r="1618">
      <c r="A1618" s="0" t="s">
        <v>3032</v>
      </c>
      <c r="B1618" s="0" t="s">
        <v>3033</v>
      </c>
      <c r="C1618" s="5">
        <f>=HYPERLINK("https://nusmods.com/modules/IS1108#timetable","Timetable")</f>
      </c>
      <c r="D1618" s="5">
        <f>=HYPERLINK("https://canvas.nus.edu.sg/courses/25459","Canvas course site")</f>
      </c>
      <c r="E1618" s="5"/>
      <c r="F1618" s="0" t="s">
        <v>724</v>
      </c>
      <c r="G1618" s="0" t="s">
        <v>725</v>
      </c>
      <c r="H1618" s="3">
        <v>795</v>
      </c>
    </row>
    <row r="1619">
      <c r="A1619" s="0" t="s">
        <v>3034</v>
      </c>
      <c r="B1619" s="0" t="s">
        <v>3035</v>
      </c>
      <c r="C1619" s="5">
        <f>=HYPERLINK("https://nusmods.com/modules/IS1128#timetable","Timetable")</f>
      </c>
      <c r="D1619" s="5">
        <f>=HYPERLINK("https://canvas.nus.edu.sg/courses/26173","Canvas course site")</f>
      </c>
      <c r="E1619" s="5">
        <f>=HYPERLINK("https://luminus.nus.edu.sg/modules/93fa37f4-0ab2-4e7e-b0b2-80abbdee7158","LumiNUS course site")</f>
      </c>
      <c r="F1619" s="0" t="s">
        <v>724</v>
      </c>
      <c r="G1619" s="0" t="s">
        <v>725</v>
      </c>
      <c r="H1619" s="3">
        <v>45</v>
      </c>
    </row>
    <row r="1620">
      <c r="A1620" s="0" t="s">
        <v>3036</v>
      </c>
      <c r="B1620" s="0" t="s">
        <v>3037</v>
      </c>
      <c r="C1620" s="5">
        <f>=HYPERLINK("https://nusmods.com/modules/IS2101#timetable","Timetable")</f>
      </c>
      <c r="D1620" s="5"/>
      <c r="E1620" s="5">
        <f>=HYPERLINK("https://luminus.nus.edu.sg/modules/74af89b1-0156-4eb3-9253-5219a97df544","LumiNUS course site")</f>
      </c>
      <c r="F1620" s="0" t="s">
        <v>926</v>
      </c>
      <c r="G1620" s="0" t="s">
        <v>1288</v>
      </c>
      <c r="H1620" s="3">
        <v>130</v>
      </c>
    </row>
    <row r="1621">
      <c r="A1621" s="0" t="s">
        <v>3038</v>
      </c>
      <c r="B1621" s="0" t="s">
        <v>3039</v>
      </c>
      <c r="C1621" s="5">
        <f>=HYPERLINK("https://nusmods.com/modules/IS2102#timetable","Timetable")</f>
      </c>
      <c r="D1621" s="5"/>
      <c r="E1621" s="5">
        <f>=HYPERLINK("https://luminus.nus.edu.sg/modules/85e9c888-5ca1-4504-a005-bde8e49f16d3","LumiNUS course site")</f>
      </c>
      <c r="F1621" s="0" t="s">
        <v>724</v>
      </c>
      <c r="G1621" s="0" t="s">
        <v>725</v>
      </c>
      <c r="H1621" s="3">
        <v>81</v>
      </c>
    </row>
    <row r="1622">
      <c r="A1622" s="0" t="s">
        <v>3040</v>
      </c>
      <c r="B1622" s="0" t="s">
        <v>3041</v>
      </c>
      <c r="C1622" s="5">
        <f>=HYPERLINK("https://nusmods.com/modules/IS2103#timetable","Timetable")</f>
      </c>
      <c r="D1622" s="5">
        <f>=HYPERLINK("https://canvas.nus.edu.sg/courses/25478","Canvas course site")</f>
      </c>
      <c r="E1622" s="5"/>
      <c r="F1622" s="0" t="s">
        <v>724</v>
      </c>
      <c r="G1622" s="0" t="s">
        <v>725</v>
      </c>
      <c r="H1622" s="3">
        <v>82</v>
      </c>
    </row>
    <row r="1623">
      <c r="A1623" s="0" t="s">
        <v>3042</v>
      </c>
      <c r="B1623" s="0" t="s">
        <v>3043</v>
      </c>
      <c r="C1623" s="5">
        <f>=HYPERLINK("https://nusmods.com/modules/IS2218#timetable","Timetable")</f>
      </c>
      <c r="D1623" s="5"/>
      <c r="E1623" s="5">
        <f>=HYPERLINK("https://luminus.nus.edu.sg/modules/2afcaa90-6ec3-477b-888f-d7986113dcd5","LumiNUS course site")</f>
      </c>
      <c r="F1623" s="0" t="s">
        <v>724</v>
      </c>
      <c r="G1623" s="0" t="s">
        <v>725</v>
      </c>
      <c r="H1623" s="3">
        <v>84</v>
      </c>
    </row>
    <row r="1624">
      <c r="A1624" s="0" t="s">
        <v>3044</v>
      </c>
      <c r="B1624" s="0" t="s">
        <v>3045</v>
      </c>
      <c r="C1624" s="5">
        <f>=HYPERLINK("https://nusmods.com/modules/IS2238#timetable","Timetable")</f>
      </c>
      <c r="D1624" s="5">
        <f>=HYPERLINK("https://canvas.nus.edu.sg/courses/26175","Canvas course site")</f>
      </c>
      <c r="E1624" s="5"/>
      <c r="F1624" s="0" t="s">
        <v>724</v>
      </c>
      <c r="G1624" s="0" t="s">
        <v>725</v>
      </c>
      <c r="H1624" s="3">
        <v>12</v>
      </c>
    </row>
    <row r="1625">
      <c r="A1625" s="0" t="s">
        <v>3046</v>
      </c>
      <c r="B1625" s="0" t="s">
        <v>3047</v>
      </c>
      <c r="C1625" s="5">
        <f>=HYPERLINK("https://nusmods.com/modules/IS3103#timetable","Timetable")</f>
      </c>
      <c r="D1625" s="5">
        <f>=HYPERLINK("https://canvas.nus.edu.sg/courses/25483","Canvas course site")</f>
      </c>
      <c r="E1625" s="5"/>
      <c r="F1625" s="0" t="s">
        <v>724</v>
      </c>
      <c r="G1625" s="0" t="s">
        <v>725</v>
      </c>
      <c r="H1625" s="3">
        <v>139</v>
      </c>
    </row>
    <row r="1626">
      <c r="A1626" s="0" t="s">
        <v>3048</v>
      </c>
      <c r="B1626" s="0" t="s">
        <v>3049</v>
      </c>
      <c r="C1626" s="5">
        <f>=HYPERLINK("https://nusmods.com/modules/IS3106#timetable","Timetable")</f>
      </c>
      <c r="D1626" s="5"/>
      <c r="E1626" s="5">
        <f>=HYPERLINK("https://luminus.nus.edu.sg/modules/2c41f0d2-6219-4594-853a-bdd5cf40dad1","LumiNUS course site")</f>
      </c>
      <c r="F1626" s="0" t="s">
        <v>724</v>
      </c>
      <c r="G1626" s="0" t="s">
        <v>725</v>
      </c>
      <c r="H1626" s="3">
        <v>15</v>
      </c>
    </row>
    <row r="1627">
      <c r="A1627" s="0" t="s">
        <v>3050</v>
      </c>
      <c r="B1627" s="0" t="s">
        <v>3051</v>
      </c>
      <c r="C1627" s="5">
        <f>=HYPERLINK("https://nusmods.com/modules/IS3107#timetable","Timetable")</f>
      </c>
      <c r="D1627" s="5">
        <f>=HYPERLINK("https://canvas.nus.edu.sg/courses/25494","Canvas course site")</f>
      </c>
      <c r="E1627" s="5"/>
      <c r="F1627" s="0" t="s">
        <v>724</v>
      </c>
      <c r="G1627" s="0" t="s">
        <v>725</v>
      </c>
      <c r="H1627" s="3">
        <v>54</v>
      </c>
    </row>
    <row r="1628">
      <c r="A1628" s="0" t="s">
        <v>3052</v>
      </c>
      <c r="B1628" s="0" t="s">
        <v>3053</v>
      </c>
      <c r="C1628" s="5">
        <f>=HYPERLINK("https://nusmods.com/modules/IS3150#timetable","Timetable")</f>
      </c>
      <c r="D1628" s="5">
        <f>=HYPERLINK("https://canvas.nus.edu.sg/courses/25498","Canvas course site")</f>
      </c>
      <c r="E1628" s="5"/>
      <c r="F1628" s="0" t="s">
        <v>724</v>
      </c>
      <c r="G1628" s="0" t="s">
        <v>725</v>
      </c>
      <c r="H1628" s="3">
        <v>57</v>
      </c>
    </row>
    <row r="1629">
      <c r="A1629" s="0" t="s">
        <v>3054</v>
      </c>
      <c r="B1629" s="0" t="s">
        <v>3055</v>
      </c>
      <c r="C1629" s="5">
        <f>=HYPERLINK("https://nusmods.com/modules/IS3221#timetable","Timetable")</f>
      </c>
      <c r="D1629" s="5"/>
      <c r="E1629" s="5">
        <f>=HYPERLINK("https://luminus.nus.edu.sg/modules/e9fe1f1f-b662-483e-8e1b-b677d92a31af","LumiNUS course site")</f>
      </c>
      <c r="F1629" s="0" t="s">
        <v>724</v>
      </c>
      <c r="G1629" s="0" t="s">
        <v>725</v>
      </c>
      <c r="H1629" s="3">
        <v>57</v>
      </c>
    </row>
    <row r="1630">
      <c r="A1630" s="0" t="s">
        <v>3056</v>
      </c>
      <c r="B1630" s="0" t="s">
        <v>3057</v>
      </c>
      <c r="C1630" s="5">
        <f>=HYPERLINK("https://nusmods.com/modules/IS3251#timetable","Timetable")</f>
      </c>
      <c r="D1630" s="5">
        <f>=HYPERLINK("https://canvas.nus.edu.sg/courses/22475","Canvas course site")</f>
      </c>
      <c r="E1630" s="5"/>
      <c r="F1630" s="0" t="s">
        <v>724</v>
      </c>
      <c r="G1630" s="0" t="s">
        <v>725</v>
      </c>
      <c r="H1630" s="3">
        <v>35</v>
      </c>
    </row>
    <row r="1631">
      <c r="A1631" s="0" t="s">
        <v>3058</v>
      </c>
      <c r="B1631" s="0" t="s">
        <v>3059</v>
      </c>
      <c r="C1631" s="5">
        <f>=HYPERLINK("https://nusmods.com/modules/IS4010#timetable","Timetable")</f>
      </c>
      <c r="D1631" s="5"/>
      <c r="E1631" s="5"/>
      <c r="F1631" s="0" t="s">
        <v>724</v>
      </c>
      <c r="G1631" s="0" t="s">
        <v>725</v>
      </c>
      <c r="H1631" s="3">
        <v>20</v>
      </c>
    </row>
    <row r="1632">
      <c r="A1632" s="0" t="s">
        <v>3060</v>
      </c>
      <c r="B1632" s="0" t="s">
        <v>3061</v>
      </c>
      <c r="C1632" s="5">
        <f>=HYPERLINK("https://nusmods.com/modules/IS4100#timetable","Timetable")</f>
      </c>
      <c r="D1632" s="5">
        <f>=HYPERLINK("https://canvas.nus.edu.sg/courses/25513","Canvas course site")</f>
      </c>
      <c r="E1632" s="5"/>
      <c r="F1632" s="0" t="s">
        <v>724</v>
      </c>
      <c r="G1632" s="0" t="s">
        <v>725</v>
      </c>
      <c r="H1632" s="3">
        <v>31</v>
      </c>
    </row>
    <row r="1633">
      <c r="A1633" s="0" t="s">
        <v>3062</v>
      </c>
      <c r="B1633" s="0" t="s">
        <v>3063</v>
      </c>
      <c r="C1633" s="5">
        <f>=HYPERLINK("https://nusmods.com/modules/IS4103#timetable","Timetable")</f>
      </c>
      <c r="D1633" s="5">
        <f>=HYPERLINK("https://canvas.nus.edu.sg/courses/25517","Canvas course site")</f>
      </c>
      <c r="E1633" s="5"/>
      <c r="F1633" s="0" t="s">
        <v>724</v>
      </c>
      <c r="G1633" s="0" t="s">
        <v>725</v>
      </c>
      <c r="H1633" s="3">
        <v>45</v>
      </c>
    </row>
    <row r="1634">
      <c r="A1634" s="0" t="s">
        <v>3064</v>
      </c>
      <c r="B1634" s="0" t="s">
        <v>3065</v>
      </c>
      <c r="C1634" s="5">
        <f>=HYPERLINK("https://nusmods.com/modules/IS4204#timetable","Timetable")</f>
      </c>
      <c r="D1634" s="5">
        <f>=HYPERLINK("https://canvas.nus.edu.sg/courses/25527","Canvas course site")</f>
      </c>
      <c r="E1634" s="5">
        <f>=HYPERLINK("https://luminus.nus.edu.sg/modules/90622ab1-ef47-4fc5-9884-02c880a33d0a","LumiNUS course site")</f>
      </c>
      <c r="F1634" s="0" t="s">
        <v>724</v>
      </c>
      <c r="G1634" s="0" t="s">
        <v>725</v>
      </c>
      <c r="H1634" s="3">
        <v>21</v>
      </c>
    </row>
    <row r="1635">
      <c r="A1635" s="0" t="s">
        <v>3066</v>
      </c>
      <c r="B1635" s="0" t="s">
        <v>3067</v>
      </c>
      <c r="C1635" s="5">
        <f>=HYPERLINK("https://nusmods.com/modules/IS4226#timetable","Timetable")</f>
      </c>
      <c r="D1635" s="5"/>
      <c r="E1635" s="5">
        <f>=HYPERLINK("https://luminus.nus.edu.sg/modules/b7fe6cf8-eba1-4951-985f-10cbb50a398b","LumiNUS course site")</f>
      </c>
      <c r="F1635" s="0" t="s">
        <v>724</v>
      </c>
      <c r="G1635" s="0" t="s">
        <v>725</v>
      </c>
      <c r="H1635" s="3">
        <v>74</v>
      </c>
    </row>
    <row r="1636">
      <c r="A1636" s="0" t="s">
        <v>3068</v>
      </c>
      <c r="B1636" s="0" t="s">
        <v>3069</v>
      </c>
      <c r="C1636" s="5">
        <f>=HYPERLINK("https://nusmods.com/modules/IS4228#timetable","Timetable")</f>
      </c>
      <c r="D1636" s="5">
        <f>=HYPERLINK("https://canvas.nus.edu.sg/courses/25532","Canvas course site")</f>
      </c>
      <c r="E1636" s="5"/>
      <c r="F1636" s="0" t="s">
        <v>724</v>
      </c>
      <c r="G1636" s="0" t="s">
        <v>725</v>
      </c>
      <c r="H1636" s="3">
        <v>113</v>
      </c>
    </row>
    <row r="1637">
      <c r="A1637" s="0" t="s">
        <v>3070</v>
      </c>
      <c r="B1637" s="0" t="s">
        <v>3071</v>
      </c>
      <c r="C1637" s="5">
        <f>=HYPERLINK("https://nusmods.com/modules/IS4233#timetable","Timetable")</f>
      </c>
      <c r="D1637" s="5">
        <f>=HYPERLINK("https://canvas.nus.edu.sg/courses/22476","Canvas course site")</f>
      </c>
      <c r="E1637" s="5">
        <f>=HYPERLINK("https://luminus.nus.edu.sg/modules/2f74f998-3c83-4e4b-acdb-6cb62c48d9e5","LumiNUS course site")</f>
      </c>
      <c r="F1637" s="0" t="s">
        <v>724</v>
      </c>
      <c r="G1637" s="0" t="s">
        <v>725</v>
      </c>
      <c r="H1637" s="3">
        <v>40</v>
      </c>
    </row>
    <row r="1638">
      <c r="A1638" s="0" t="s">
        <v>3072</v>
      </c>
      <c r="B1638" s="0" t="s">
        <v>3073</v>
      </c>
      <c r="C1638" s="5">
        <f>=HYPERLINK("https://nusmods.com/modules/IS4234#timetable","Timetable")</f>
      </c>
      <c r="D1638" s="5"/>
      <c r="E1638" s="5">
        <f>=HYPERLINK("https://luminus.nus.edu.sg/modules/5954ebef-9732-42b7-afc8-eb0645881f1a","LumiNUS course site")</f>
      </c>
      <c r="F1638" s="0" t="s">
        <v>724</v>
      </c>
      <c r="G1638" s="0" t="s">
        <v>725</v>
      </c>
      <c r="H1638" s="3">
        <v>73</v>
      </c>
    </row>
    <row r="1639">
      <c r="A1639" s="0" t="s">
        <v>3074</v>
      </c>
      <c r="B1639" s="0" t="s">
        <v>3075</v>
      </c>
      <c r="C1639" s="5">
        <f>=HYPERLINK("https://nusmods.com/modules/IS4261#timetable","Timetable")</f>
      </c>
      <c r="D1639" s="5">
        <f>=HYPERLINK("https://canvas.nus.edu.sg/courses/25548","Canvas course site")</f>
      </c>
      <c r="E1639" s="5"/>
      <c r="F1639" s="0" t="s">
        <v>724</v>
      </c>
      <c r="G1639" s="0" t="s">
        <v>725</v>
      </c>
      <c r="H1639" s="3">
        <v>26</v>
      </c>
    </row>
    <row r="1640">
      <c r="A1640" s="0" t="s">
        <v>3076</v>
      </c>
      <c r="B1640" s="0" t="s">
        <v>3077</v>
      </c>
      <c r="C1640" s="5">
        <f>=HYPERLINK("https://nusmods.com/modules/IS4301#timetable","Timetable")</f>
      </c>
      <c r="D1640" s="5"/>
      <c r="E1640" s="5">
        <f>=HYPERLINK("https://luminus.nus.edu.sg/modules/943fa099-d49a-4044-85a5-b80fed66bb25","LumiNUS course site")</f>
      </c>
      <c r="F1640" s="0" t="s">
        <v>724</v>
      </c>
      <c r="G1640" s="0" t="s">
        <v>725</v>
      </c>
      <c r="H1640" s="3">
        <v>94</v>
      </c>
    </row>
    <row r="1641">
      <c r="A1641" s="0" t="s">
        <v>3078</v>
      </c>
      <c r="B1641" s="0" t="s">
        <v>3079</v>
      </c>
      <c r="C1641" s="5">
        <f>=HYPERLINK("https://nusmods.com/modules/IS5005#timetable","Timetable")</f>
      </c>
      <c r="D1641" s="5">
        <f>=HYPERLINK("https://canvas.nus.edu.sg/courses/25558","Canvas course site")</f>
      </c>
      <c r="E1641" s="5"/>
      <c r="F1641" s="0" t="s">
        <v>724</v>
      </c>
      <c r="G1641" s="0" t="s">
        <v>725</v>
      </c>
      <c r="H1641" s="3">
        <v>115</v>
      </c>
    </row>
    <row r="1642">
      <c r="A1642" s="0" t="s">
        <v>3080</v>
      </c>
      <c r="B1642" s="0" t="s">
        <v>3081</v>
      </c>
      <c r="C1642" s="5">
        <f>=HYPERLINK("https://nusmods.com/modules/IS5007#timetable","Timetable")</f>
      </c>
      <c r="D1642" s="5"/>
      <c r="E1642" s="5">
        <f>=HYPERLINK("https://luminus.nus.edu.sg/modules/a457dc9c-aa5e-4f36-9b39-f060ddbc4dce","LumiNUS course site")</f>
      </c>
      <c r="F1642" s="0" t="s">
        <v>724</v>
      </c>
      <c r="G1642" s="0" t="s">
        <v>725</v>
      </c>
      <c r="H1642" s="3">
        <v>79</v>
      </c>
    </row>
    <row r="1643">
      <c r="A1643" s="0" t="s">
        <v>3082</v>
      </c>
      <c r="B1643" s="0" t="s">
        <v>3083</v>
      </c>
      <c r="C1643" s="5">
        <f>=HYPERLINK("https://nusmods.com/modules/IS5116#timetable","Timetable")</f>
      </c>
      <c r="D1643" s="5">
        <f>=HYPERLINK("https://canvas.nus.edu.sg/courses/25574","Canvas course site")</f>
      </c>
      <c r="E1643" s="5">
        <f>=HYPERLINK("https://luminus.nus.edu.sg/modules/e78ddd81-a69a-4b00-ba4e-6de65365a9cf","LumiNUS course site")</f>
      </c>
      <c r="F1643" s="0" t="s">
        <v>724</v>
      </c>
      <c r="G1643" s="0" t="s">
        <v>725</v>
      </c>
      <c r="H1643" s="3">
        <v>85</v>
      </c>
    </row>
    <row r="1644">
      <c r="A1644" s="0" t="s">
        <v>3084</v>
      </c>
      <c r="B1644" s="0" t="s">
        <v>3085</v>
      </c>
      <c r="C1644" s="5">
        <f>=HYPERLINK("https://nusmods.com/modules/IS5126#timetable","Timetable")</f>
      </c>
      <c r="D1644" s="5"/>
      <c r="E1644" s="5">
        <f>=HYPERLINK("https://luminus.nus.edu.sg/modules/c438e3cc-62b5-4f43-b598-1c4214929367","LumiNUS course site")</f>
      </c>
      <c r="F1644" s="0" t="s">
        <v>724</v>
      </c>
      <c r="G1644" s="0" t="s">
        <v>725</v>
      </c>
      <c r="H1644" s="3">
        <v>60</v>
      </c>
    </row>
    <row r="1645">
      <c r="A1645" s="0" t="s">
        <v>3086</v>
      </c>
      <c r="B1645" s="0" t="s">
        <v>3087</v>
      </c>
      <c r="C1645" s="5">
        <f>=HYPERLINK("https://nusmods.com/modules/IS5128#timetable","Timetable")</f>
      </c>
      <c r="D1645" s="5">
        <f>=HYPERLINK("https://canvas.nus.edu.sg/courses/25584","Canvas course site")</f>
      </c>
      <c r="E1645" s="5"/>
      <c r="F1645" s="0" t="s">
        <v>724</v>
      </c>
      <c r="G1645" s="0" t="s">
        <v>725</v>
      </c>
      <c r="H1645" s="3">
        <v>65</v>
      </c>
    </row>
    <row r="1646">
      <c r="A1646" s="0" t="s">
        <v>3088</v>
      </c>
      <c r="B1646" s="0" t="s">
        <v>3089</v>
      </c>
      <c r="C1646" s="5">
        <f>=HYPERLINK("https://nusmods.com/modules/IS6000#timetable","Timetable")</f>
      </c>
      <c r="D1646" s="5">
        <f>=HYPERLINK("https://canvas.nus.edu.sg/courses/25594","Canvas course site")</f>
      </c>
      <c r="E1646" s="5"/>
      <c r="F1646" s="0" t="s">
        <v>724</v>
      </c>
      <c r="G1646" s="0" t="s">
        <v>725</v>
      </c>
      <c r="H1646" s="3">
        <v>8</v>
      </c>
    </row>
    <row r="1647">
      <c r="A1647" s="0" t="s">
        <v>3090</v>
      </c>
      <c r="B1647" s="0" t="s">
        <v>3091</v>
      </c>
      <c r="C1647" s="5">
        <f>=HYPERLINK("https://nusmods.com/modules/IS6002#timetable","Timetable")</f>
      </c>
      <c r="D1647" s="5"/>
      <c r="E1647" s="5">
        <f>=HYPERLINK("https://luminus.nus.edu.sg/modules/cd5165c3-d9b1-4071-a626-5148b4608aff","LumiNUS course site")</f>
      </c>
      <c r="F1647" s="0" t="s">
        <v>724</v>
      </c>
      <c r="G1647" s="0" t="s">
        <v>725</v>
      </c>
      <c r="H1647" s="3">
        <v>11</v>
      </c>
    </row>
    <row r="1648">
      <c r="A1648" s="0" t="s">
        <v>3092</v>
      </c>
      <c r="B1648" s="0" t="s">
        <v>3093</v>
      </c>
      <c r="C1648" s="5">
        <f>=HYPERLINK("https://nusmods.com/modules/IS6101#timetable","Timetable")</f>
      </c>
      <c r="D1648" s="5">
        <f>=HYPERLINK("https://canvas.nus.edu.sg/courses/25608","Canvas course site")</f>
      </c>
      <c r="E1648" s="5"/>
      <c r="F1648" s="0" t="s">
        <v>724</v>
      </c>
      <c r="G1648" s="0" t="s">
        <v>725</v>
      </c>
      <c r="H1648" s="3">
        <v>7</v>
      </c>
    </row>
    <row r="1649">
      <c r="A1649" s="0" t="s">
        <v>3094</v>
      </c>
      <c r="B1649" s="0" t="s">
        <v>3095</v>
      </c>
      <c r="C1649" s="5">
        <f>=HYPERLINK("https://nusmods.com/modules/ISD5101#timetable","Timetable")</f>
      </c>
      <c r="D1649" s="5"/>
      <c r="E1649" s="5">
        <f>=HYPERLINK("https://luminus.nus.edu.sg/modules/89fbdf41-b044-407d-99d3-ef75a15e8d9a","LumiNUS course site")</f>
      </c>
      <c r="F1649" s="0" t="s">
        <v>10</v>
      </c>
      <c r="G1649" s="0" t="s">
        <v>263</v>
      </c>
      <c r="H1649" s="3">
        <v>33</v>
      </c>
    </row>
    <row r="1650">
      <c r="A1650" s="0" t="s">
        <v>3096</v>
      </c>
      <c r="B1650" s="0" t="s">
        <v>3097</v>
      </c>
      <c r="C1650" s="5">
        <f>=HYPERLINK("https://nusmods.com/modules/ISD5103#timetable","Timetable")</f>
      </c>
      <c r="D1650" s="5"/>
      <c r="E1650" s="5">
        <f>=HYPERLINK("https://luminus.nus.edu.sg/modules/c021f842-7517-43d2-a476-a21adc9be869","LumiNUS course site")</f>
      </c>
      <c r="F1650" s="0" t="s">
        <v>10</v>
      </c>
      <c r="G1650" s="0" t="s">
        <v>263</v>
      </c>
      <c r="H1650" s="3">
        <v>34</v>
      </c>
    </row>
    <row r="1651">
      <c r="A1651" s="0" t="s">
        <v>3098</v>
      </c>
      <c r="B1651" s="0" t="s">
        <v>3099</v>
      </c>
      <c r="C1651" s="5">
        <f>=HYPERLINK("https://nusmods.com/modules/ISD5104#timetable","Timetable")</f>
      </c>
      <c r="D1651" s="5"/>
      <c r="E1651" s="5">
        <f>=HYPERLINK("https://luminus.nus.edu.sg/modules/e1cec429-4495-4ac3-a400-2c41e2473283","LumiNUS course site")</f>
      </c>
      <c r="F1651" s="0" t="s">
        <v>10</v>
      </c>
      <c r="G1651" s="0" t="s">
        <v>263</v>
      </c>
      <c r="H1651" s="3">
        <v>38</v>
      </c>
    </row>
    <row r="1652">
      <c r="A1652" s="0" t="s">
        <v>3100</v>
      </c>
      <c r="B1652" s="0" t="s">
        <v>3101</v>
      </c>
      <c r="C1652" s="5">
        <f>=HYPERLINK("https://nusmods.com/modules/ISE3550#timetable","Timetable")</f>
      </c>
      <c r="D1652" s="5"/>
      <c r="E1652" s="5"/>
      <c r="F1652" s="0" t="s">
        <v>73</v>
      </c>
      <c r="G1652" s="0" t="s">
        <v>775</v>
      </c>
      <c r="H1652" s="3">
        <v>0</v>
      </c>
    </row>
    <row r="1653">
      <c r="A1653" s="0" t="s">
        <v>3102</v>
      </c>
      <c r="B1653" s="0" t="s">
        <v>3103</v>
      </c>
      <c r="C1653" s="5">
        <f>=HYPERLINK("https://nusmods.com/modules/ISY5001#timetable","Timetable")</f>
      </c>
      <c r="D1653" s="5">
        <f>=HYPERLINK("https://canvas.nus.edu.sg/courses/26721","Canvas course site")</f>
      </c>
      <c r="E1653" s="5">
        <f>=HYPERLINK("https://luminus.nus.edu.sg/modules/3064dbf5-c0cf-4e99-90ca-ba73d1371cc2","LumiNUS course site")</f>
      </c>
      <c r="F1653" s="0" t="s">
        <v>1501</v>
      </c>
      <c r="G1653" s="0" t="s">
        <v>1501</v>
      </c>
      <c r="H1653" s="3">
        <v>75</v>
      </c>
    </row>
    <row r="1654">
      <c r="A1654" s="0" t="s">
        <v>3104</v>
      </c>
      <c r="B1654" s="0" t="s">
        <v>3103</v>
      </c>
      <c r="C1654" s="5">
        <f>=HYPERLINK("https://nusmods.com/modules/ISY5001G#timetable","Timetable")</f>
      </c>
      <c r="D1654" s="5"/>
      <c r="E1654" s="5"/>
      <c r="F1654" s="0" t="s">
        <v>1501</v>
      </c>
      <c r="G1654" s="0" t="s">
        <v>1501</v>
      </c>
      <c r="H1654" s="3">
        <v>4</v>
      </c>
    </row>
    <row r="1655">
      <c r="A1655" s="0" t="s">
        <v>3105</v>
      </c>
      <c r="B1655" s="0" t="s">
        <v>3106</v>
      </c>
      <c r="C1655" s="5">
        <f>=HYPERLINK("https://nusmods.com/modules/ISY5002#timetable","Timetable")</f>
      </c>
      <c r="D1655" s="5">
        <f>=HYPERLINK("https://canvas.nus.edu.sg/courses/26723","Canvas course site")</f>
      </c>
      <c r="E1655" s="5">
        <f>=HYPERLINK("https://luminus.nus.edu.sg/modules/6c859ebf-b4fe-4946-8684-cb2f753ee346","LumiNUS course site")</f>
      </c>
      <c r="F1655" s="0" t="s">
        <v>1501</v>
      </c>
      <c r="G1655" s="0" t="s">
        <v>1501</v>
      </c>
      <c r="H1655" s="3">
        <v>101</v>
      </c>
    </row>
    <row r="1656">
      <c r="A1656" s="0" t="s">
        <v>3107</v>
      </c>
      <c r="B1656" s="0" t="s">
        <v>3106</v>
      </c>
      <c r="C1656" s="5">
        <f>=HYPERLINK("https://nusmods.com/modules/ISY5002G#timetable","Timetable")</f>
      </c>
      <c r="D1656" s="5"/>
      <c r="E1656" s="5"/>
      <c r="F1656" s="0" t="s">
        <v>1501</v>
      </c>
      <c r="G1656" s="0" t="s">
        <v>1501</v>
      </c>
      <c r="H1656" s="3">
        <v>6</v>
      </c>
    </row>
    <row r="1657">
      <c r="A1657" s="0" t="s">
        <v>3108</v>
      </c>
      <c r="B1657" s="0" t="s">
        <v>3109</v>
      </c>
      <c r="C1657" s="5">
        <f>=HYPERLINK("https://nusmods.com/modules/ISY5003#timetable","Timetable")</f>
      </c>
      <c r="D1657" s="5"/>
      <c r="E1657" s="5">
        <f>=HYPERLINK("https://luminus.nus.edu.sg/modules/e066930c-6b92-4933-be20-50b45fa1a828","LumiNUS course site")</f>
      </c>
      <c r="F1657" s="0" t="s">
        <v>1501</v>
      </c>
      <c r="G1657" s="0" t="s">
        <v>1501</v>
      </c>
      <c r="H1657" s="3">
        <v>23</v>
      </c>
    </row>
    <row r="1658">
      <c r="A1658" s="0" t="s">
        <v>3110</v>
      </c>
      <c r="B1658" s="0" t="s">
        <v>3111</v>
      </c>
      <c r="C1658" s="5">
        <f>=HYPERLINK("https://nusmods.com/modules/ISY5004#timetable","Timetable")</f>
      </c>
      <c r="D1658" s="5"/>
      <c r="E1658" s="5"/>
      <c r="F1658" s="0" t="s">
        <v>1501</v>
      </c>
      <c r="G1658" s="0" t="s">
        <v>1501</v>
      </c>
      <c r="H1658" s="3">
        <v>0</v>
      </c>
    </row>
    <row r="1659">
      <c r="A1659" s="0" t="s">
        <v>3112</v>
      </c>
      <c r="B1659" s="0" t="s">
        <v>3113</v>
      </c>
      <c r="C1659" s="5">
        <f>=HYPERLINK("https://nusmods.com/modules/ISY5005#timetable","Timetable")</f>
      </c>
      <c r="D1659" s="5"/>
      <c r="E1659" s="5"/>
      <c r="F1659" s="0" t="s">
        <v>1501</v>
      </c>
      <c r="G1659" s="0" t="s">
        <v>1501</v>
      </c>
      <c r="H1659" s="3">
        <v>0</v>
      </c>
    </row>
    <row r="1660">
      <c r="A1660" s="0" t="s">
        <v>3114</v>
      </c>
      <c r="B1660" s="0" t="s">
        <v>3115</v>
      </c>
      <c r="C1660" s="5">
        <f>=HYPERLINK("https://nusmods.com/modules/ISY5007#timetable","Timetable")</f>
      </c>
      <c r="D1660" s="5"/>
      <c r="E1660" s="5"/>
      <c r="F1660" s="0" t="s">
        <v>1501</v>
      </c>
      <c r="G1660" s="0" t="s">
        <v>1501</v>
      </c>
      <c r="H1660" s="3">
        <v>36</v>
      </c>
    </row>
    <row r="1661">
      <c r="A1661" s="0" t="s">
        <v>3116</v>
      </c>
      <c r="B1661" s="0" t="s">
        <v>3117</v>
      </c>
      <c r="C1661" s="5">
        <f>=HYPERLINK("https://nusmods.com/modules/IT1244#timetable","Timetable")</f>
      </c>
      <c r="D1661" s="5">
        <f>=HYPERLINK("https://canvas.nus.edu.sg/courses/25632","Canvas course site")</f>
      </c>
      <c r="E1661" s="5">
        <f>=HYPERLINK("https://luminus.nus.edu.sg/modules/f15e5f60-63b5-4aea-a037-9ec3fd3f4aba","LumiNUS course site")</f>
      </c>
      <c r="F1661" s="0" t="s">
        <v>724</v>
      </c>
      <c r="G1661" s="0" t="s">
        <v>762</v>
      </c>
      <c r="H1661" s="3">
        <v>159</v>
      </c>
    </row>
    <row r="1662">
      <c r="A1662" s="0" t="s">
        <v>3118</v>
      </c>
      <c r="B1662" s="0" t="s">
        <v>3119</v>
      </c>
      <c r="C1662" s="5">
        <f>=HYPERLINK("https://nusmods.com/modules/IT2900#timetable","Timetable")</f>
      </c>
      <c r="D1662" s="5"/>
      <c r="E1662" s="5">
        <f>=HYPERLINK("https://luminus.nus.edu.sg/modules/2ddba8e0-faaf-49d1-8e7c-f0477b7d4482","LumiNUS course site")</f>
      </c>
      <c r="F1662" s="0" t="s">
        <v>724</v>
      </c>
      <c r="G1662" s="0" t="s">
        <v>762</v>
      </c>
      <c r="H1662" s="3">
        <v>26</v>
      </c>
    </row>
    <row r="1663">
      <c r="A1663" s="0" t="s">
        <v>3120</v>
      </c>
      <c r="B1663" s="0" t="s">
        <v>3121</v>
      </c>
      <c r="C1663" s="5">
        <f>=HYPERLINK("https://nusmods.com/modules/IT3010#timetable","Timetable")</f>
      </c>
      <c r="D1663" s="5">
        <f>=HYPERLINK("https://canvas.nus.edu.sg/courses/25641","Canvas course site")</f>
      </c>
      <c r="E1663" s="5">
        <f>=HYPERLINK("https://luminus.nus.edu.sg/modules/94a8608e-6be0-46d4-a982-77d017ec45ac","LumiNUS course site")</f>
      </c>
      <c r="F1663" s="0" t="s">
        <v>724</v>
      </c>
      <c r="G1663" s="0" t="s">
        <v>725</v>
      </c>
      <c r="H1663" s="3">
        <v>80</v>
      </c>
    </row>
    <row r="1664">
      <c r="A1664" s="0" t="s">
        <v>3122</v>
      </c>
      <c r="B1664" s="0" t="s">
        <v>3123</v>
      </c>
      <c r="C1664" s="5">
        <f>=HYPERLINK("https://nusmods.com/modules/IT5001#timetable","Timetable")</f>
      </c>
      <c r="D1664" s="5">
        <f>=HYPERLINK("https://canvas.nus.edu.sg/courses/25647","Canvas course site")</f>
      </c>
      <c r="E1664" s="5"/>
      <c r="F1664" s="0" t="s">
        <v>724</v>
      </c>
      <c r="G1664" s="0" t="s">
        <v>762</v>
      </c>
      <c r="H1664" s="3">
        <v>285</v>
      </c>
    </row>
    <row r="1665">
      <c r="A1665" s="0" t="s">
        <v>3124</v>
      </c>
      <c r="B1665" s="0" t="s">
        <v>3125</v>
      </c>
      <c r="C1665" s="5">
        <f>=HYPERLINK("https://nusmods.com/modules/IT5002#timetable","Timetable")</f>
      </c>
      <c r="D1665" s="5">
        <f>=HYPERLINK("https://canvas.nus.edu.sg/courses/25652","Canvas course site")</f>
      </c>
      <c r="E1665" s="5">
        <f>=HYPERLINK("https://luminus.nus.edu.sg/modules/82ea08ee-fcc6-4b3f-a50a-28ff826629ea","LumiNUS course site")</f>
      </c>
      <c r="F1665" s="0" t="s">
        <v>724</v>
      </c>
      <c r="G1665" s="0" t="s">
        <v>762</v>
      </c>
      <c r="H1665" s="3">
        <v>196</v>
      </c>
    </row>
    <row r="1666">
      <c r="A1666" s="0" t="s">
        <v>3126</v>
      </c>
      <c r="B1666" s="0" t="s">
        <v>1281</v>
      </c>
      <c r="C1666" s="5">
        <f>=HYPERLINK("https://nusmods.com/modules/IT5003#timetable","Timetable")</f>
      </c>
      <c r="D1666" s="5">
        <f>=HYPERLINK("https://canvas.nus.edu.sg/courses/22477","Canvas course site")</f>
      </c>
      <c r="E1666" s="5"/>
      <c r="F1666" s="0" t="s">
        <v>724</v>
      </c>
      <c r="G1666" s="0" t="s">
        <v>762</v>
      </c>
      <c r="H1666" s="3">
        <v>193</v>
      </c>
    </row>
    <row r="1667">
      <c r="A1667" s="0" t="s">
        <v>3127</v>
      </c>
      <c r="B1667" s="0" t="s">
        <v>3128</v>
      </c>
      <c r="C1667" s="5">
        <f>=HYPERLINK("https://nusmods.com/modules/IT5004#timetable","Timetable")</f>
      </c>
      <c r="D1667" s="5"/>
      <c r="E1667" s="5">
        <f>=HYPERLINK("https://luminus.nus.edu.sg/modules/64d177de-acba-4a74-9993-ddc3b6d864f6","LumiNUS course site")</f>
      </c>
      <c r="F1667" s="0" t="s">
        <v>724</v>
      </c>
      <c r="G1667" s="0" t="s">
        <v>725</v>
      </c>
      <c r="H1667" s="3">
        <v>109</v>
      </c>
    </row>
    <row r="1668">
      <c r="A1668" s="0" t="s">
        <v>3129</v>
      </c>
      <c r="B1668" s="0" t="s">
        <v>3130</v>
      </c>
      <c r="C1668" s="5">
        <f>=HYPERLINK("https://nusmods.com/modules/IT5005#timetable","Timetable")</f>
      </c>
      <c r="D1668" s="5">
        <f>=HYPERLINK("https://canvas.nus.edu.sg/courses/25657","Canvas course site")</f>
      </c>
      <c r="E1668" s="5"/>
      <c r="F1668" s="0" t="s">
        <v>724</v>
      </c>
      <c r="G1668" s="0" t="s">
        <v>762</v>
      </c>
      <c r="H1668" s="3">
        <v>137</v>
      </c>
    </row>
    <row r="1669">
      <c r="A1669" s="0" t="s">
        <v>3131</v>
      </c>
      <c r="B1669" s="0" t="s">
        <v>3132</v>
      </c>
      <c r="C1669" s="5">
        <f>=HYPERLINK("https://nusmods.com/modules/IT5007#timetable","Timetable")</f>
      </c>
      <c r="D1669" s="5"/>
      <c r="E1669" s="5">
        <f>=HYPERLINK("https://luminus.nus.edu.sg/modules/9484bc66-bbfe-4077-84d8-0cf8756a58ce","LumiNUS course site")</f>
      </c>
      <c r="F1669" s="0" t="s">
        <v>724</v>
      </c>
      <c r="G1669" s="0" t="s">
        <v>762</v>
      </c>
      <c r="H1669" s="3">
        <v>62</v>
      </c>
    </row>
    <row r="1670">
      <c r="A1670" s="0" t="s">
        <v>3133</v>
      </c>
      <c r="B1670" s="0" t="s">
        <v>3134</v>
      </c>
      <c r="C1670" s="5">
        <f>=HYPERLINK("https://nusmods.com/modules/IT5100C#timetable","Timetable")</f>
      </c>
      <c r="D1670" s="5">
        <f>=HYPERLINK("https://canvas.nus.edu.sg/courses/26836","Canvas course site")</f>
      </c>
      <c r="E1670" s="5"/>
      <c r="F1670" s="0" t="s">
        <v>724</v>
      </c>
      <c r="G1670" s="0" t="s">
        <v>725</v>
      </c>
      <c r="H1670" s="3">
        <v>53</v>
      </c>
    </row>
    <row r="1671">
      <c r="A1671" s="0" t="s">
        <v>3135</v>
      </c>
      <c r="B1671" s="0" t="s">
        <v>3136</v>
      </c>
      <c r="C1671" s="5">
        <f>=HYPERLINK("https://nusmods.com/modules/JS1101E#timetable","Timetable")</f>
      </c>
      <c r="D1671" s="5"/>
      <c r="E1671" s="5">
        <f>=HYPERLINK("https://luminus.nus.edu.sg/modules/b8448296-a3a4-4f91-bdf7-a6177c67dfb7","LumiNUS course site")</f>
      </c>
      <c r="F1671" s="0" t="s">
        <v>73</v>
      </c>
      <c r="G1671" s="0" t="s">
        <v>2455</v>
      </c>
      <c r="H1671" s="3">
        <v>68</v>
      </c>
    </row>
    <row r="1672">
      <c r="A1672" s="0" t="s">
        <v>3137</v>
      </c>
      <c r="B1672" s="0" t="s">
        <v>3138</v>
      </c>
      <c r="C1672" s="5">
        <f>=HYPERLINK("https://nusmods.com/modules/JS2101#timetable","Timetable")</f>
      </c>
      <c r="D1672" s="5"/>
      <c r="E1672" s="5">
        <f>=HYPERLINK("https://luminus.nus.edu.sg/modules/ee039390-339f-4529-bda7-78130c20f2a3","LumiNUS course site")</f>
      </c>
      <c r="F1672" s="0" t="s">
        <v>73</v>
      </c>
      <c r="G1672" s="0" t="s">
        <v>2455</v>
      </c>
      <c r="H1672" s="3">
        <v>12</v>
      </c>
    </row>
    <row r="1673">
      <c r="A1673" s="0" t="s">
        <v>3139</v>
      </c>
      <c r="B1673" s="0" t="s">
        <v>3140</v>
      </c>
      <c r="C1673" s="5">
        <f>=HYPERLINK("https://nusmods.com/modules/JS2214#timetable","Timetable")</f>
      </c>
      <c r="D1673" s="5"/>
      <c r="E1673" s="5">
        <f>=HYPERLINK("https://luminus.nus.edu.sg/modules/e85f0c4c-d050-4374-9b4d-428de951e807","LumiNUS course site")</f>
      </c>
      <c r="F1673" s="0" t="s">
        <v>73</v>
      </c>
      <c r="G1673" s="0" t="s">
        <v>2455</v>
      </c>
      <c r="H1673" s="3">
        <v>22</v>
      </c>
    </row>
    <row r="1674">
      <c r="A1674" s="0" t="s">
        <v>3141</v>
      </c>
      <c r="B1674" s="0" t="s">
        <v>3142</v>
      </c>
      <c r="C1674" s="5">
        <f>=HYPERLINK("https://nusmods.com/modules/JS2216#timetable","Timetable")</f>
      </c>
      <c r="D1674" s="5"/>
      <c r="E1674" s="5">
        <f>=HYPERLINK("https://luminus.nus.edu.sg/modules/f1348de5-f541-4992-884c-b36fa320c7a9","LumiNUS course site")</f>
      </c>
      <c r="F1674" s="0" t="s">
        <v>73</v>
      </c>
      <c r="G1674" s="0" t="s">
        <v>2455</v>
      </c>
      <c r="H1674" s="3">
        <v>90</v>
      </c>
    </row>
    <row r="1675">
      <c r="A1675" s="0" t="s">
        <v>3143</v>
      </c>
      <c r="B1675" s="0" t="s">
        <v>3144</v>
      </c>
      <c r="C1675" s="5">
        <f>=HYPERLINK("https://nusmods.com/modules/JS3101#timetable","Timetable")</f>
      </c>
      <c r="D1675" s="5"/>
      <c r="E1675" s="5">
        <f>=HYPERLINK("https://luminus.nus.edu.sg/modules/66cecc1c-d23b-4a46-9ec9-7edb131eb573","LumiNUS course site")</f>
      </c>
      <c r="F1675" s="0" t="s">
        <v>73</v>
      </c>
      <c r="G1675" s="0" t="s">
        <v>2455</v>
      </c>
      <c r="H1675" s="3">
        <v>3</v>
      </c>
    </row>
    <row r="1676">
      <c r="A1676" s="0" t="s">
        <v>3145</v>
      </c>
      <c r="B1676" s="0" t="s">
        <v>3146</v>
      </c>
      <c r="C1676" s="5">
        <f>=HYPERLINK("https://nusmods.com/modules/JS3213#timetable","Timetable")</f>
      </c>
      <c r="D1676" s="5"/>
      <c r="E1676" s="5">
        <f>=HYPERLINK("https://luminus.nus.edu.sg/modules/22e90fa9-1c44-432f-be84-b94d8086bfad","LumiNUS course site")</f>
      </c>
      <c r="F1676" s="0" t="s">
        <v>73</v>
      </c>
      <c r="G1676" s="0" t="s">
        <v>2455</v>
      </c>
      <c r="H1676" s="3">
        <v>16</v>
      </c>
    </row>
    <row r="1677">
      <c r="A1677" s="0" t="s">
        <v>3147</v>
      </c>
      <c r="B1677" s="0" t="s">
        <v>3148</v>
      </c>
      <c r="C1677" s="5">
        <f>=HYPERLINK("https://nusmods.com/modules/JS3222#timetable","Timetable")</f>
      </c>
      <c r="D1677" s="5"/>
      <c r="E1677" s="5">
        <f>=HYPERLINK("https://luminus.nus.edu.sg/modules/965b31a9-ab64-48c3-bc2f-2baf008efdbb","LumiNUS course site")</f>
      </c>
      <c r="F1677" s="0" t="s">
        <v>73</v>
      </c>
      <c r="G1677" s="0" t="s">
        <v>2455</v>
      </c>
      <c r="H1677" s="3">
        <v>16</v>
      </c>
    </row>
    <row r="1678">
      <c r="A1678" s="0" t="s">
        <v>3149</v>
      </c>
      <c r="B1678" s="0" t="s">
        <v>3150</v>
      </c>
      <c r="C1678" s="5">
        <f>=HYPERLINK("https://nusmods.com/modules/JS3230#timetable","Timetable")</f>
      </c>
      <c r="D1678" s="5">
        <f>=HYPERLINK("https://canvas.nus.edu.sg/courses/25691","Canvas course site")</f>
      </c>
      <c r="E1678" s="5">
        <f>=HYPERLINK("https://luminus.nus.edu.sg/modules/cbe5c2c2-52ec-4656-acd9-f03d3f8e6bdd","LumiNUS course site")</f>
      </c>
      <c r="F1678" s="0" t="s">
        <v>73</v>
      </c>
      <c r="G1678" s="0" t="s">
        <v>2455</v>
      </c>
      <c r="H1678" s="3">
        <v>10</v>
      </c>
    </row>
    <row r="1679">
      <c r="A1679" s="0" t="s">
        <v>3151</v>
      </c>
      <c r="B1679" s="0" t="s">
        <v>2826</v>
      </c>
      <c r="C1679" s="5">
        <f>=HYPERLINK("https://nusmods.com/modules/JS4213#timetable","Timetable")</f>
      </c>
      <c r="D1679" s="5"/>
      <c r="E1679" s="5">
        <f>=HYPERLINK("https://luminus.nus.edu.sg/modules/90087892-db74-4c27-a75f-dd04d06951ea","LumiNUS course site")</f>
      </c>
      <c r="F1679" s="0" t="s">
        <v>73</v>
      </c>
      <c r="G1679" s="0" t="s">
        <v>2455</v>
      </c>
      <c r="H1679" s="3">
        <v>4</v>
      </c>
    </row>
    <row r="1680">
      <c r="A1680" s="0" t="s">
        <v>3152</v>
      </c>
      <c r="B1680" s="0" t="s">
        <v>3153</v>
      </c>
      <c r="C1680" s="5">
        <f>=HYPERLINK("https://nusmods.com/modules/JS4217#timetable","Timetable")</f>
      </c>
      <c r="D1680" s="5"/>
      <c r="E1680" s="5">
        <f>=HYPERLINK("https://luminus.nus.edu.sg/modules/9932b48d-3664-4cd1-acb7-1f469a683218","LumiNUS course site")</f>
      </c>
      <c r="F1680" s="0" t="s">
        <v>73</v>
      </c>
      <c r="G1680" s="0" t="s">
        <v>2455</v>
      </c>
      <c r="H1680" s="3">
        <v>3</v>
      </c>
    </row>
    <row r="1681">
      <c r="A1681" s="0" t="s">
        <v>3154</v>
      </c>
      <c r="B1681" s="0" t="s">
        <v>3155</v>
      </c>
      <c r="C1681" s="5">
        <f>=HYPERLINK("https://nusmods.com/modules/JS4225#timetable","Timetable")</f>
      </c>
      <c r="D1681" s="5"/>
      <c r="E1681" s="5">
        <f>=HYPERLINK("https://luminus.nus.edu.sg/modules/8d381b74-49b7-4ab2-a04c-12be15681c48","LumiNUS course site")</f>
      </c>
      <c r="F1681" s="0" t="s">
        <v>73</v>
      </c>
      <c r="G1681" s="0" t="s">
        <v>2455</v>
      </c>
      <c r="H1681" s="3">
        <v>6</v>
      </c>
    </row>
    <row r="1682">
      <c r="A1682" s="0" t="s">
        <v>3156</v>
      </c>
      <c r="B1682" s="0" t="s">
        <v>3157</v>
      </c>
      <c r="C1682" s="5">
        <f>=HYPERLINK("https://nusmods.com/modules/JS4230#timetable","Timetable")</f>
      </c>
      <c r="D1682" s="5">
        <f>=HYPERLINK("https://canvas.nus.edu.sg/courses/25706","Canvas course site")</f>
      </c>
      <c r="E1682" s="5">
        <f>=HYPERLINK("https://luminus.nus.edu.sg/modules/41ae204f-a880-4a7f-99fa-b2a2fbfdead3","LumiNUS course site")</f>
      </c>
      <c r="F1682" s="0" t="s">
        <v>73</v>
      </c>
      <c r="G1682" s="0" t="s">
        <v>2455</v>
      </c>
      <c r="H1682" s="3">
        <v>5</v>
      </c>
    </row>
    <row r="1683">
      <c r="A1683" s="0" t="s">
        <v>3158</v>
      </c>
      <c r="B1683" s="0" t="s">
        <v>980</v>
      </c>
      <c r="C1683" s="5">
        <f>=HYPERLINK("https://nusmods.com/modules/JS4401#timetable","Timetable")</f>
      </c>
      <c r="D1683" s="5"/>
      <c r="E1683" s="5"/>
      <c r="F1683" s="0" t="s">
        <v>73</v>
      </c>
      <c r="G1683" s="0" t="s">
        <v>2455</v>
      </c>
      <c r="H1683" s="3">
        <v>1</v>
      </c>
    </row>
    <row r="1684">
      <c r="A1684" s="0" t="s">
        <v>3159</v>
      </c>
      <c r="B1684" s="0" t="s">
        <v>602</v>
      </c>
      <c r="C1684" s="5">
        <f>=HYPERLINK("https://nusmods.com/modules/JS4660#timetable","Timetable")</f>
      </c>
      <c r="D1684" s="5"/>
      <c r="E1684" s="5"/>
      <c r="F1684" s="0" t="s">
        <v>73</v>
      </c>
      <c r="G1684" s="0" t="s">
        <v>2455</v>
      </c>
      <c r="H1684" s="3">
        <v>1</v>
      </c>
    </row>
    <row r="1685">
      <c r="A1685" s="0" t="s">
        <v>3160</v>
      </c>
      <c r="B1685" s="0" t="s">
        <v>3161</v>
      </c>
      <c r="C1685" s="5">
        <f>=HYPERLINK("https://nusmods.com/modules/JS5204#timetable","Timetable")</f>
      </c>
      <c r="D1685" s="5"/>
      <c r="E1685" s="5">
        <f>=HYPERLINK("https://luminus.nus.edu.sg/modules/b5d24923-a25e-42ab-a992-41e3b31f990f","LumiNUS course site")</f>
      </c>
      <c r="F1685" s="0" t="s">
        <v>73</v>
      </c>
      <c r="G1685" s="0" t="s">
        <v>2455</v>
      </c>
      <c r="H1685" s="3">
        <v>3</v>
      </c>
    </row>
    <row r="1686">
      <c r="A1686" s="0" t="s">
        <v>3162</v>
      </c>
      <c r="B1686" s="0" t="s">
        <v>602</v>
      </c>
      <c r="C1686" s="5">
        <f>=HYPERLINK("https://nusmods.com/modules/JS6660#timetable","Timetable")</f>
      </c>
      <c r="D1686" s="5"/>
      <c r="E1686" s="5"/>
      <c r="F1686" s="0" t="s">
        <v>73</v>
      </c>
      <c r="G1686" s="0" t="s">
        <v>2455</v>
      </c>
      <c r="H1686" s="3">
        <v>1</v>
      </c>
    </row>
    <row r="1687">
      <c r="A1687" s="0" t="s">
        <v>3163</v>
      </c>
      <c r="B1687" s="0" t="s">
        <v>3164</v>
      </c>
      <c r="C1687" s="5">
        <f>=HYPERLINK("https://nusmods.com/modules/LA4202#timetable","Timetable")</f>
      </c>
      <c r="D1687" s="5"/>
      <c r="E1687" s="5"/>
      <c r="F1687" s="0" t="s">
        <v>10</v>
      </c>
      <c r="G1687" s="0" t="s">
        <v>11</v>
      </c>
      <c r="H1687" s="3">
        <v>0</v>
      </c>
    </row>
    <row r="1688">
      <c r="A1688" s="0" t="s">
        <v>3165</v>
      </c>
      <c r="B1688" s="0" t="s">
        <v>3166</v>
      </c>
      <c r="C1688" s="5">
        <f>=HYPERLINK("https://nusmods.com/modules/LA4301#timetable","Timetable")</f>
      </c>
      <c r="D1688" s="5"/>
      <c r="E1688" s="5"/>
      <c r="F1688" s="0" t="s">
        <v>10</v>
      </c>
      <c r="G1688" s="0" t="s">
        <v>11</v>
      </c>
      <c r="H1688" s="3">
        <v>0</v>
      </c>
    </row>
    <row r="1689">
      <c r="A1689" s="0" t="s">
        <v>3167</v>
      </c>
      <c r="B1689" s="0" t="s">
        <v>3168</v>
      </c>
      <c r="C1689" s="5">
        <f>=HYPERLINK("https://nusmods.com/modules/LA4701#timetable","Timetable")</f>
      </c>
      <c r="D1689" s="5"/>
      <c r="E1689" s="5">
        <f>=HYPERLINK("https://luminus.nus.edu.sg/modules/9313d133-a064-4fe9-90c8-19692855cd9a","LumiNUS course site")</f>
      </c>
      <c r="F1689" s="0" t="s">
        <v>10</v>
      </c>
      <c r="G1689" s="0" t="s">
        <v>11</v>
      </c>
      <c r="H1689" s="3">
        <v>46</v>
      </c>
    </row>
    <row r="1690">
      <c r="A1690" s="0" t="s">
        <v>3169</v>
      </c>
      <c r="B1690" s="0" t="s">
        <v>3170</v>
      </c>
      <c r="C1690" s="5">
        <f>=HYPERLINK("https://nusmods.com/modules/LA5201#timetable","Timetable")</f>
      </c>
      <c r="D1690" s="5"/>
      <c r="E1690" s="5"/>
      <c r="F1690" s="0" t="s">
        <v>10</v>
      </c>
      <c r="G1690" s="0" t="s">
        <v>11</v>
      </c>
      <c r="H1690" s="3">
        <v>0</v>
      </c>
    </row>
    <row r="1691">
      <c r="A1691" s="0" t="s">
        <v>3171</v>
      </c>
      <c r="B1691" s="0" t="s">
        <v>3172</v>
      </c>
      <c r="C1691" s="5">
        <f>=HYPERLINK("https://nusmods.com/modules/LA5222#timetable","Timetable")</f>
      </c>
      <c r="D1691" s="5"/>
      <c r="E1691" s="5">
        <f>=HYPERLINK("https://luminus.nus.edu.sg/modules/590a075f-1512-4400-ad58-63e7969bddb9","LumiNUS course site")</f>
      </c>
      <c r="F1691" s="0" t="s">
        <v>10</v>
      </c>
      <c r="G1691" s="0" t="s">
        <v>11</v>
      </c>
      <c r="H1691" s="3">
        <v>32</v>
      </c>
    </row>
    <row r="1692">
      <c r="A1692" s="0" t="s">
        <v>3173</v>
      </c>
      <c r="B1692" s="0" t="s">
        <v>3174</v>
      </c>
      <c r="C1692" s="5">
        <f>=HYPERLINK("https://nusmods.com/modules/LA5301#timetable","Timetable")</f>
      </c>
      <c r="D1692" s="5"/>
      <c r="E1692" s="5">
        <f>=HYPERLINK("https://luminus.nus.edu.sg/modules/73aa7724-966f-4fa4-be40-aef610bc6d4d","LumiNUS course site")</f>
      </c>
      <c r="F1692" s="0" t="s">
        <v>10</v>
      </c>
      <c r="G1692" s="0" t="s">
        <v>11</v>
      </c>
      <c r="H1692" s="3">
        <v>26</v>
      </c>
    </row>
    <row r="1693">
      <c r="A1693" s="0" t="s">
        <v>3175</v>
      </c>
      <c r="B1693" s="0" t="s">
        <v>3176</v>
      </c>
      <c r="C1693" s="5">
        <f>=HYPERLINK("https://nusmods.com/modules/LA5701#timetable","Timetable")</f>
      </c>
      <c r="D1693" s="5"/>
      <c r="E1693" s="5">
        <f>=HYPERLINK("https://luminus.nus.edu.sg/modules/1216714e-96be-4faa-acee-6e9123193861","LumiNUS course site")</f>
      </c>
      <c r="F1693" s="0" t="s">
        <v>10</v>
      </c>
      <c r="G1693" s="0" t="s">
        <v>11</v>
      </c>
      <c r="H1693" s="3">
        <v>25</v>
      </c>
    </row>
    <row r="1694">
      <c r="A1694" s="0" t="s">
        <v>3177</v>
      </c>
      <c r="B1694" s="0" t="s">
        <v>3178</v>
      </c>
      <c r="C1694" s="5">
        <f>=HYPERLINK("https://nusmods.com/modules/LA5742A#timetable","Timetable")</f>
      </c>
      <c r="D1694" s="5"/>
      <c r="E1694" s="5">
        <f>=HYPERLINK("https://luminus.nus.edu.sg/modules/09f9322c-bb5c-4fb2-a096-44ef35158e06","LumiNUS course site")</f>
      </c>
      <c r="F1694" s="0" t="s">
        <v>10</v>
      </c>
      <c r="G1694" s="0" t="s">
        <v>11</v>
      </c>
      <c r="H1694" s="3">
        <v>0</v>
      </c>
    </row>
    <row r="1695">
      <c r="A1695" s="0" t="s">
        <v>3179</v>
      </c>
      <c r="B1695" s="0" t="s">
        <v>3180</v>
      </c>
      <c r="C1695" s="5">
        <f>=HYPERLINK("https://nusmods.com/modules/LAB1201#timetable","Timetable")</f>
      </c>
      <c r="D1695" s="5">
        <f>=HYPERLINK("https://canvas.nus.edu.sg/courses/22479","Canvas course site")</f>
      </c>
      <c r="E1695" s="5">
        <f>=HYPERLINK("https://luminus.nus.edu.sg/modules/732bdf83-0ea2-4283-80c5-7f69fa40e34f","LumiNUS course site")</f>
      </c>
      <c r="F1695" s="0" t="s">
        <v>73</v>
      </c>
      <c r="G1695" s="0" t="s">
        <v>1512</v>
      </c>
      <c r="H1695" s="3">
        <v>103</v>
      </c>
    </row>
    <row r="1696">
      <c r="A1696" s="0" t="s">
        <v>3181</v>
      </c>
      <c r="B1696" s="0" t="s">
        <v>3182</v>
      </c>
      <c r="C1696" s="5">
        <f>=HYPERLINK("https://nusmods.com/modules/LAB2201#timetable","Timetable")</f>
      </c>
      <c r="D1696" s="5"/>
      <c r="E1696" s="5">
        <f>=HYPERLINK("https://luminus.nus.edu.sg/modules/d4eb44ca-135b-4971-9343-7ea7a814ae16","LumiNUS course site")</f>
      </c>
      <c r="F1696" s="0" t="s">
        <v>73</v>
      </c>
      <c r="G1696" s="0" t="s">
        <v>1512</v>
      </c>
      <c r="H1696" s="3">
        <v>26</v>
      </c>
    </row>
    <row r="1697">
      <c r="A1697" s="0" t="s">
        <v>3183</v>
      </c>
      <c r="B1697" s="0" t="s">
        <v>3184</v>
      </c>
      <c r="C1697" s="5">
        <f>=HYPERLINK("https://nusmods.com/modules/LAB3201#timetable","Timetable")</f>
      </c>
      <c r="D1697" s="5"/>
      <c r="E1697" s="5">
        <f>=HYPERLINK("https://luminus.nus.edu.sg/modules/fc9153de-b8cc-4679-90d0-e5efc1d20cde","LumiNUS course site")</f>
      </c>
      <c r="F1697" s="0" t="s">
        <v>73</v>
      </c>
      <c r="G1697" s="0" t="s">
        <v>1512</v>
      </c>
      <c r="H1697" s="3">
        <v>15</v>
      </c>
    </row>
    <row r="1698">
      <c r="A1698" s="0" t="s">
        <v>3185</v>
      </c>
      <c r="B1698" s="0" t="s">
        <v>3186</v>
      </c>
      <c r="C1698" s="5">
        <f>=HYPERLINK("https://nusmods.com/modules/LAB3202#timetable","Timetable")</f>
      </c>
      <c r="D1698" s="5"/>
      <c r="E1698" s="5">
        <f>=HYPERLINK("https://luminus.nus.edu.sg/modules/f4c10376-6663-4f33-81f5-92b5d7a32478","LumiNUS course site")</f>
      </c>
      <c r="F1698" s="0" t="s">
        <v>73</v>
      </c>
      <c r="G1698" s="0" t="s">
        <v>1512</v>
      </c>
      <c r="H1698" s="3">
        <v>4</v>
      </c>
    </row>
    <row r="1699">
      <c r="A1699" s="0" t="s">
        <v>3187</v>
      </c>
      <c r="B1699" s="0" t="s">
        <v>3188</v>
      </c>
      <c r="C1699" s="5">
        <f>=HYPERLINK("https://nusmods.com/modules/LAB4201#timetable","Timetable")</f>
      </c>
      <c r="D1699" s="5"/>
      <c r="E1699" s="5">
        <f>=HYPERLINK("https://luminus.nus.edu.sg/modules/383dad43-2914-48a4-9eca-74a21f18bae7","LumiNUS course site")</f>
      </c>
      <c r="F1699" s="0" t="s">
        <v>73</v>
      </c>
      <c r="G1699" s="0" t="s">
        <v>1512</v>
      </c>
      <c r="H1699" s="3">
        <v>4</v>
      </c>
    </row>
    <row r="1700">
      <c r="A1700" s="0" t="s">
        <v>3189</v>
      </c>
      <c r="B1700" s="0" t="s">
        <v>3188</v>
      </c>
      <c r="C1700" s="5">
        <f>=HYPERLINK("https://nusmods.com/modules/LAB4201HM#timetable","Timetable")</f>
      </c>
      <c r="D1700" s="5"/>
      <c r="E1700" s="5">
        <f>=HYPERLINK("https://luminus.nus.edu.sg/modules/383dad43-2914-48a4-9eca-74a21f18bae7","LumiNUS course site")</f>
      </c>
      <c r="F1700" s="0" t="s">
        <v>73</v>
      </c>
      <c r="G1700" s="0" t="s">
        <v>1512</v>
      </c>
      <c r="H1700" s="3">
        <v>0</v>
      </c>
    </row>
    <row r="1701">
      <c r="A1701" s="0" t="s">
        <v>3190</v>
      </c>
      <c r="B1701" s="0" t="s">
        <v>3191</v>
      </c>
      <c r="C1701" s="5">
        <f>=HYPERLINK("https://nusmods.com/modules/LAC1201#timetable","Timetable")</f>
      </c>
      <c r="D1701" s="5"/>
      <c r="E1701" s="5">
        <f>=HYPERLINK("https://luminus.nus.edu.sg/modules/74214d1c-902d-402b-a969-3098659773b5","LumiNUS course site")</f>
      </c>
      <c r="F1701" s="0" t="s">
        <v>73</v>
      </c>
      <c r="G1701" s="0" t="s">
        <v>1512</v>
      </c>
      <c r="H1701" s="3">
        <v>156</v>
      </c>
    </row>
    <row r="1702">
      <c r="A1702" s="0" t="s">
        <v>3192</v>
      </c>
      <c r="B1702" s="0" t="s">
        <v>3193</v>
      </c>
      <c r="C1702" s="5">
        <f>=HYPERLINK("https://nusmods.com/modules/LAC2201#timetable","Timetable")</f>
      </c>
      <c r="D1702" s="5"/>
      <c r="E1702" s="5">
        <f>=HYPERLINK("https://luminus.nus.edu.sg/modules/c51e57b3-6595-4d8f-9227-0f7f8ed50fa8","LumiNUS course site")</f>
      </c>
      <c r="F1702" s="0" t="s">
        <v>73</v>
      </c>
      <c r="G1702" s="0" t="s">
        <v>1512</v>
      </c>
      <c r="H1702" s="3">
        <v>33</v>
      </c>
    </row>
    <row r="1703">
      <c r="A1703" s="0" t="s">
        <v>3194</v>
      </c>
      <c r="B1703" s="0" t="s">
        <v>3195</v>
      </c>
      <c r="C1703" s="5">
        <f>=HYPERLINK("https://nusmods.com/modules/LAC3201#timetable","Timetable")</f>
      </c>
      <c r="D1703" s="5"/>
      <c r="E1703" s="5">
        <f>=HYPERLINK("https://luminus.nus.edu.sg/modules/3108713f-d0d2-4658-8ab1-571563de7e79","LumiNUS course site")</f>
      </c>
      <c r="F1703" s="0" t="s">
        <v>73</v>
      </c>
      <c r="G1703" s="0" t="s">
        <v>1512</v>
      </c>
      <c r="H1703" s="3">
        <v>18</v>
      </c>
    </row>
    <row r="1704">
      <c r="A1704" s="0" t="s">
        <v>3196</v>
      </c>
      <c r="B1704" s="0" t="s">
        <v>3197</v>
      </c>
      <c r="C1704" s="5">
        <f>=HYPERLINK("https://nusmods.com/modules/LAC3202#timetable","Timetable")</f>
      </c>
      <c r="D1704" s="5"/>
      <c r="E1704" s="5">
        <f>=HYPERLINK("https://luminus.nus.edu.sg/modules/a15f81be-002c-4c8c-bcc2-a189c11bb6b3","LumiNUS course site")</f>
      </c>
      <c r="F1704" s="0" t="s">
        <v>73</v>
      </c>
      <c r="G1704" s="0" t="s">
        <v>1512</v>
      </c>
      <c r="H1704" s="3">
        <v>18</v>
      </c>
    </row>
    <row r="1705">
      <c r="A1705" s="0" t="s">
        <v>3198</v>
      </c>
      <c r="B1705" s="0" t="s">
        <v>3199</v>
      </c>
      <c r="C1705" s="5">
        <f>=HYPERLINK("https://nusmods.com/modules/LAC3204#timetable","Timetable")</f>
      </c>
      <c r="D1705" s="5"/>
      <c r="E1705" s="5">
        <f>=HYPERLINK("https://luminus.nus.edu.sg/modules/0fe9572d-3fae-4b41-8419-993735f0ca4c","LumiNUS course site")</f>
      </c>
      <c r="F1705" s="0" t="s">
        <v>73</v>
      </c>
      <c r="G1705" s="0" t="s">
        <v>1512</v>
      </c>
      <c r="H1705" s="3">
        <v>21</v>
      </c>
    </row>
    <row r="1706">
      <c r="A1706" s="0" t="s">
        <v>3200</v>
      </c>
      <c r="B1706" s="0" t="s">
        <v>3201</v>
      </c>
      <c r="C1706" s="5">
        <f>=HYPERLINK("https://nusmods.com/modules/LAC4201#timetable","Timetable")</f>
      </c>
      <c r="D1706" s="5"/>
      <c r="E1706" s="5">
        <f>=HYPERLINK("https://luminus.nus.edu.sg/modules/f4e8481a-eaf0-41a9-b2ec-8b90219c7820","LumiNUS course site")</f>
      </c>
      <c r="F1706" s="0" t="s">
        <v>73</v>
      </c>
      <c r="G1706" s="0" t="s">
        <v>1512</v>
      </c>
      <c r="H1706" s="3">
        <v>10</v>
      </c>
    </row>
    <row r="1707">
      <c r="A1707" s="0" t="s">
        <v>3202</v>
      </c>
      <c r="B1707" s="0" t="s">
        <v>3201</v>
      </c>
      <c r="C1707" s="5">
        <f>=HYPERLINK("https://nusmods.com/modules/LAC4201HM#timetable","Timetable")</f>
      </c>
      <c r="D1707" s="5"/>
      <c r="E1707" s="5">
        <f>=HYPERLINK("https://luminus.nus.edu.sg/modules/5bf84010-df2c-4087-801f-0598dbb0d56d","LumiNUS course site")</f>
      </c>
      <c r="F1707" s="0" t="s">
        <v>73</v>
      </c>
      <c r="G1707" s="0" t="s">
        <v>1512</v>
      </c>
      <c r="H1707" s="3">
        <v>2</v>
      </c>
    </row>
    <row r="1708">
      <c r="A1708" s="0" t="s">
        <v>3203</v>
      </c>
      <c r="B1708" s="0" t="s">
        <v>3204</v>
      </c>
      <c r="C1708" s="5">
        <f>=HYPERLINK("https://nusmods.com/modules/LAD1001#timetable","Timetable")</f>
      </c>
      <c r="D1708" s="5"/>
      <c r="E1708" s="5">
        <f>=HYPERLINK("https://luminus.nus.edu.sg/modules/674e62e9-b050-4451-aef7-cf125b4ce38e","LumiNUS course site")</f>
      </c>
      <c r="F1708" s="0" t="s">
        <v>10</v>
      </c>
      <c r="G1708" s="0" t="s">
        <v>11</v>
      </c>
      <c r="H1708" s="3">
        <v>16</v>
      </c>
    </row>
    <row r="1709">
      <c r="A1709" s="0" t="s">
        <v>3205</v>
      </c>
      <c r="B1709" s="0" t="s">
        <v>3206</v>
      </c>
      <c r="C1709" s="5">
        <f>=HYPERLINK("https://nusmods.com/modules/LAD1002#timetable","Timetable")</f>
      </c>
      <c r="D1709" s="5"/>
      <c r="E1709" s="5"/>
      <c r="F1709" s="0" t="s">
        <v>10</v>
      </c>
      <c r="G1709" s="0" t="s">
        <v>11</v>
      </c>
      <c r="H1709" s="3">
        <v>0</v>
      </c>
    </row>
    <row r="1710">
      <c r="A1710" s="0" t="s">
        <v>3207</v>
      </c>
      <c r="B1710" s="0" t="s">
        <v>3208</v>
      </c>
      <c r="C1710" s="5">
        <f>=HYPERLINK("https://nusmods.com/modules/LAD1003#timetable","Timetable")</f>
      </c>
      <c r="D1710" s="5"/>
      <c r="E1710" s="5">
        <f>=HYPERLINK("https://luminus.nus.edu.sg/modules/b7c61c05-7940-4763-ac7b-9755e6bdb297","LumiNUS course site")</f>
      </c>
      <c r="F1710" s="0" t="s">
        <v>10</v>
      </c>
      <c r="G1710" s="0" t="s">
        <v>11</v>
      </c>
      <c r="H1710" s="3">
        <v>33</v>
      </c>
    </row>
    <row r="1711">
      <c r="A1711" s="0" t="s">
        <v>3209</v>
      </c>
      <c r="B1711" s="0" t="s">
        <v>98</v>
      </c>
      <c r="C1711" s="5">
        <f>=HYPERLINK("https://nusmods.com/modules/LAD2001#timetable","Timetable")</f>
      </c>
      <c r="D1711" s="5"/>
      <c r="E1711" s="5"/>
      <c r="F1711" s="0" t="s">
        <v>10</v>
      </c>
      <c r="G1711" s="0" t="s">
        <v>11</v>
      </c>
      <c r="H1711" s="3">
        <v>0</v>
      </c>
    </row>
    <row r="1712">
      <c r="A1712" s="0" t="s">
        <v>3210</v>
      </c>
      <c r="B1712" s="0" t="s">
        <v>3211</v>
      </c>
      <c r="C1712" s="5">
        <f>=HYPERLINK("https://nusmods.com/modules/LAD2003#timetable","Timetable")</f>
      </c>
      <c r="D1712" s="5"/>
      <c r="E1712" s="5"/>
      <c r="F1712" s="0" t="s">
        <v>10</v>
      </c>
      <c r="G1712" s="0" t="s">
        <v>11</v>
      </c>
      <c r="H1712" s="3">
        <v>0</v>
      </c>
    </row>
    <row r="1713">
      <c r="A1713" s="0" t="s">
        <v>3212</v>
      </c>
      <c r="B1713" s="0" t="s">
        <v>3213</v>
      </c>
      <c r="C1713" s="5">
        <f>=HYPERLINK("https://nusmods.com/modules/LAD2004#timetable","Timetable")</f>
      </c>
      <c r="D1713" s="5"/>
      <c r="E1713" s="5">
        <f>=HYPERLINK("https://luminus.nus.edu.sg/modules/96b7ec55-3bd2-4a17-b020-0e8538fa7810","LumiNUS course site")</f>
      </c>
      <c r="F1713" s="0" t="s">
        <v>10</v>
      </c>
      <c r="G1713" s="0" t="s">
        <v>11</v>
      </c>
      <c r="H1713" s="3">
        <v>19</v>
      </c>
    </row>
    <row r="1714">
      <c r="A1714" s="0" t="s">
        <v>3214</v>
      </c>
      <c r="B1714" s="0" t="s">
        <v>3215</v>
      </c>
      <c r="C1714" s="5">
        <f>=HYPERLINK("https://nusmods.com/modules/LAD2005#timetable","Timetable")</f>
      </c>
      <c r="D1714" s="5"/>
      <c r="E1714" s="5">
        <f>=HYPERLINK("https://luminus.nus.edu.sg/modules/a0045c5d-4c6a-412d-a818-2223bdcbcf5f","LumiNUS course site")</f>
      </c>
      <c r="F1714" s="0" t="s">
        <v>10</v>
      </c>
      <c r="G1714" s="0" t="s">
        <v>11</v>
      </c>
      <c r="H1714" s="3">
        <v>30</v>
      </c>
    </row>
    <row r="1715">
      <c r="A1715" s="0" t="s">
        <v>3216</v>
      </c>
      <c r="B1715" s="0" t="s">
        <v>98</v>
      </c>
      <c r="C1715" s="5">
        <f>=HYPERLINK("https://nusmods.com/modules/LAD2006#timetable","Timetable")</f>
      </c>
      <c r="D1715" s="5"/>
      <c r="E1715" s="5">
        <f>=HYPERLINK("https://luminus.nus.edu.sg/modules/57d928a2-d37c-4e6a-9025-fa3bc3b31024","LumiNUS course site")</f>
      </c>
      <c r="F1715" s="0" t="s">
        <v>10</v>
      </c>
      <c r="G1715" s="0" t="s">
        <v>11</v>
      </c>
      <c r="H1715" s="3">
        <v>29</v>
      </c>
    </row>
    <row r="1716">
      <c r="A1716" s="0" t="s">
        <v>3217</v>
      </c>
      <c r="B1716" s="0" t="s">
        <v>108</v>
      </c>
      <c r="C1716" s="5">
        <f>=HYPERLINK("https://nusmods.com/modules/LAD3001#timetable","Timetable")</f>
      </c>
      <c r="D1716" s="5"/>
      <c r="E1716" s="5">
        <f>=HYPERLINK("https://luminus.nus.edu.sg/modules/0891db08-c5f2-41fb-a6af-74d6dde313f5","LumiNUS course site")</f>
      </c>
      <c r="F1716" s="0" t="s">
        <v>10</v>
      </c>
      <c r="G1716" s="0" t="s">
        <v>11</v>
      </c>
      <c r="H1716" s="3">
        <v>27</v>
      </c>
    </row>
    <row r="1717">
      <c r="A1717" s="0" t="s">
        <v>3218</v>
      </c>
      <c r="B1717" s="0" t="s">
        <v>3219</v>
      </c>
      <c r="C1717" s="5">
        <f>=HYPERLINK("https://nusmods.com/modules/LAD3004#timetable","Timetable")</f>
      </c>
      <c r="D1717" s="5"/>
      <c r="E1717" s="5"/>
      <c r="F1717" s="0" t="s">
        <v>10</v>
      </c>
      <c r="G1717" s="0" t="s">
        <v>11</v>
      </c>
      <c r="H1717" s="3">
        <v>0</v>
      </c>
    </row>
    <row r="1718">
      <c r="A1718" s="0" t="s">
        <v>3220</v>
      </c>
      <c r="B1718" s="0" t="s">
        <v>3221</v>
      </c>
      <c r="C1718" s="5">
        <f>=HYPERLINK("https://nusmods.com/modules/LAD3006#timetable","Timetable")</f>
      </c>
      <c r="D1718" s="5"/>
      <c r="E1718" s="5">
        <f>=HYPERLINK("https://luminus.nus.edu.sg/modules/4d02843d-3c33-45ae-9794-c501539b4286","LumiNUS course site")</f>
      </c>
      <c r="F1718" s="0" t="s">
        <v>10</v>
      </c>
      <c r="G1718" s="0" t="s">
        <v>11</v>
      </c>
      <c r="H1718" s="3">
        <v>16</v>
      </c>
    </row>
    <row r="1719">
      <c r="A1719" s="0" t="s">
        <v>3222</v>
      </c>
      <c r="B1719" s="0" t="s">
        <v>3223</v>
      </c>
      <c r="C1719" s="5">
        <f>=HYPERLINK("https://nusmods.com/modules/LAD4004#timetable","Timetable")</f>
      </c>
      <c r="D1719" s="5"/>
      <c r="E1719" s="5">
        <f>=HYPERLINK("https://luminus.nus.edu.sg/modules/d0c6118d-dcd4-4dc9-a590-468fa596fc24","LumiNUS course site")</f>
      </c>
      <c r="F1719" s="0" t="s">
        <v>10</v>
      </c>
      <c r="G1719" s="0" t="s">
        <v>11</v>
      </c>
      <c r="H1719" s="3">
        <v>20</v>
      </c>
    </row>
    <row r="1720">
      <c r="A1720" s="0" t="s">
        <v>3224</v>
      </c>
      <c r="B1720" s="0" t="s">
        <v>3225</v>
      </c>
      <c r="C1720" s="5">
        <f>=HYPERLINK("https://nusmods.com/modules/LAD4006#timetable","Timetable")</f>
      </c>
      <c r="D1720" s="5"/>
      <c r="E1720" s="5">
        <f>=HYPERLINK("https://luminus.nus.edu.sg/modules/641334b6-87cf-4c58-b052-89b5c08c6b77","LumiNUS course site")</f>
      </c>
      <c r="F1720" s="0" t="s">
        <v>10</v>
      </c>
      <c r="G1720" s="0" t="s">
        <v>11</v>
      </c>
      <c r="H1720" s="3">
        <v>20</v>
      </c>
    </row>
    <row r="1721">
      <c r="A1721" s="0" t="s">
        <v>3226</v>
      </c>
      <c r="B1721" s="0" t="s">
        <v>3227</v>
      </c>
      <c r="C1721" s="5">
        <f>=HYPERLINK("https://nusmods.com/modules/LAD4007#timetable","Timetable")</f>
      </c>
      <c r="D1721" s="5"/>
      <c r="E1721" s="5">
        <f>=HYPERLINK("https://luminus.nus.edu.sg/modules/72aecd8c-12d0-4ae7-ad07-2aecae22b15a","LumiNUS course site")</f>
      </c>
      <c r="F1721" s="0" t="s">
        <v>10</v>
      </c>
      <c r="G1721" s="0" t="s">
        <v>11</v>
      </c>
      <c r="H1721" s="3">
        <v>2</v>
      </c>
    </row>
    <row r="1722">
      <c r="A1722" s="0" t="s">
        <v>3228</v>
      </c>
      <c r="B1722" s="0" t="s">
        <v>3229</v>
      </c>
      <c r="C1722" s="5">
        <f>=HYPERLINK("https://nusmods.com/modules/LAD4008#timetable","Timetable")</f>
      </c>
      <c r="D1722" s="5"/>
      <c r="E1722" s="5"/>
      <c r="F1722" s="0" t="s">
        <v>10</v>
      </c>
      <c r="G1722" s="0" t="s">
        <v>11</v>
      </c>
      <c r="H1722" s="3">
        <v>0</v>
      </c>
    </row>
    <row r="1723">
      <c r="A1723" s="0" t="s">
        <v>3230</v>
      </c>
      <c r="B1723" s="0" t="s">
        <v>3231</v>
      </c>
      <c r="C1723" s="5">
        <f>=HYPERLINK("https://nusmods.com/modules/LAF1201#timetable","Timetable")</f>
      </c>
      <c r="D1723" s="5"/>
      <c r="E1723" s="5">
        <f>=HYPERLINK("https://luminus.nus.edu.sg/modules/007b95b8-0223-493b-bc46-80097e44e71f","LumiNUS course site")</f>
      </c>
      <c r="F1723" s="0" t="s">
        <v>73</v>
      </c>
      <c r="G1723" s="0" t="s">
        <v>1512</v>
      </c>
      <c r="H1723" s="3">
        <v>245</v>
      </c>
    </row>
    <row r="1724">
      <c r="A1724" s="0" t="s">
        <v>3232</v>
      </c>
      <c r="B1724" s="0" t="s">
        <v>3233</v>
      </c>
      <c r="C1724" s="5">
        <f>=HYPERLINK("https://nusmods.com/modules/LAF2201#timetable","Timetable")</f>
      </c>
      <c r="D1724" s="5">
        <f>=HYPERLINK("https://canvas.nus.edu.sg/courses/22485","Canvas course site")</f>
      </c>
      <c r="E1724" s="5">
        <f>=HYPERLINK("https://luminus.nus.edu.sg/modules/d675ceee-5377-40c9-bb7f-8cf506ba97e6","LumiNUS course site")</f>
      </c>
      <c r="F1724" s="0" t="s">
        <v>73</v>
      </c>
      <c r="G1724" s="0" t="s">
        <v>1512</v>
      </c>
      <c r="H1724" s="3">
        <v>39</v>
      </c>
    </row>
    <row r="1725">
      <c r="A1725" s="0" t="s">
        <v>3234</v>
      </c>
      <c r="B1725" s="0" t="s">
        <v>3235</v>
      </c>
      <c r="C1725" s="5">
        <f>=HYPERLINK("https://nusmods.com/modules/LAF3201#timetable","Timetable")</f>
      </c>
      <c r="D1725" s="5">
        <f>=HYPERLINK("https://canvas.nus.edu.sg/courses/25864","Canvas course site")</f>
      </c>
      <c r="E1725" s="5">
        <f>=HYPERLINK("https://luminus.nus.edu.sg/modules/56aa4d98-c6d7-4961-9bf5-252637efb378","LumiNUS course site")</f>
      </c>
      <c r="F1725" s="0" t="s">
        <v>73</v>
      </c>
      <c r="G1725" s="0" t="s">
        <v>1512</v>
      </c>
      <c r="H1725" s="3">
        <v>44</v>
      </c>
    </row>
    <row r="1726">
      <c r="A1726" s="0" t="s">
        <v>3236</v>
      </c>
      <c r="B1726" s="0" t="s">
        <v>3237</v>
      </c>
      <c r="C1726" s="5">
        <f>=HYPERLINK("https://nusmods.com/modules/LAF3202#timetable","Timetable")</f>
      </c>
      <c r="D1726" s="5"/>
      <c r="E1726" s="5">
        <f>=HYPERLINK("https://luminus.nus.edu.sg/modules/2519ec69-7662-4fc2-b317-e4631a3e00af","LumiNUS course site")</f>
      </c>
      <c r="F1726" s="0" t="s">
        <v>73</v>
      </c>
      <c r="G1726" s="0" t="s">
        <v>1512</v>
      </c>
      <c r="H1726" s="3">
        <v>10</v>
      </c>
    </row>
    <row r="1727">
      <c r="A1727" s="0" t="s">
        <v>3238</v>
      </c>
      <c r="B1727" s="0" t="s">
        <v>3239</v>
      </c>
      <c r="C1727" s="5">
        <f>=HYPERLINK("https://nusmods.com/modules/LAF4201#timetable","Timetable")</f>
      </c>
      <c r="D1727" s="5">
        <f>=HYPERLINK("https://canvas.nus.edu.sg/courses/25874","Canvas course site")</f>
      </c>
      <c r="E1727" s="5">
        <f>=HYPERLINK("https://luminus.nus.edu.sg/modules/38ff245f-fb78-4b55-aa5a-a5a05893df7f","LumiNUS course site")</f>
      </c>
      <c r="F1727" s="0" t="s">
        <v>73</v>
      </c>
      <c r="G1727" s="0" t="s">
        <v>1512</v>
      </c>
      <c r="H1727" s="3">
        <v>4</v>
      </c>
    </row>
    <row r="1728">
      <c r="A1728" s="0" t="s">
        <v>3240</v>
      </c>
      <c r="B1728" s="0" t="s">
        <v>3239</v>
      </c>
      <c r="C1728" s="5">
        <f>=HYPERLINK("https://nusmods.com/modules/LAF4201HM#timetable","Timetable")</f>
      </c>
      <c r="D1728" s="5">
        <f>=HYPERLINK("https://canvas.nus.edu.sg/courses/26311","Canvas course site")</f>
      </c>
      <c r="E1728" s="5">
        <f>=HYPERLINK("https://luminus.nus.edu.sg/modules/2bbb9335-0d1e-465b-a74b-980f3fc23f6c","LumiNUS course site")</f>
      </c>
      <c r="F1728" s="0" t="s">
        <v>73</v>
      </c>
      <c r="G1728" s="0" t="s">
        <v>1512</v>
      </c>
      <c r="H1728" s="3">
        <v>25</v>
      </c>
    </row>
    <row r="1729">
      <c r="A1729" s="0" t="s">
        <v>3241</v>
      </c>
      <c r="B1729" s="0" t="s">
        <v>3242</v>
      </c>
      <c r="C1729" s="5">
        <f>=HYPERLINK("https://nusmods.com/modules/LAF4202#timetable","Timetable")</f>
      </c>
      <c r="D1729" s="5">
        <f>=HYPERLINK("https://canvas.nus.edu.sg/courses/22486","Canvas course site")</f>
      </c>
      <c r="E1729" s="5">
        <f>=HYPERLINK("https://luminus.nus.edu.sg/modules/ae4661be-b707-4fd3-8b5b-ab4375b488af","LumiNUS course site")</f>
      </c>
      <c r="F1729" s="0" t="s">
        <v>73</v>
      </c>
      <c r="G1729" s="0" t="s">
        <v>1512</v>
      </c>
      <c r="H1729" s="3">
        <v>4</v>
      </c>
    </row>
    <row r="1730">
      <c r="A1730" s="0" t="s">
        <v>3243</v>
      </c>
      <c r="B1730" s="0" t="s">
        <v>3242</v>
      </c>
      <c r="C1730" s="5">
        <f>=HYPERLINK("https://nusmods.com/modules/LAF4202HM#timetable","Timetable")</f>
      </c>
      <c r="D1730" s="5"/>
      <c r="E1730" s="5">
        <f>=HYPERLINK("https://luminus.nus.edu.sg/modules/fcdd47b2-df92-4b90-9d33-2b32cfeba542","LumiNUS course site")</f>
      </c>
      <c r="F1730" s="0" t="s">
        <v>73</v>
      </c>
      <c r="G1730" s="0" t="s">
        <v>1512</v>
      </c>
      <c r="H1730" s="3">
        <v>18</v>
      </c>
    </row>
    <row r="1731">
      <c r="A1731" s="0" t="s">
        <v>3244</v>
      </c>
      <c r="B1731" s="0" t="s">
        <v>3245</v>
      </c>
      <c r="C1731" s="5">
        <f>=HYPERLINK("https://nusmods.com/modules/LAF4203#timetable","Timetable")</f>
      </c>
      <c r="D1731" s="5">
        <f>=HYPERLINK("https://canvas.nus.edu.sg/courses/26313","Canvas course site")</f>
      </c>
      <c r="E1731" s="5">
        <f>=HYPERLINK("https://luminus.nus.edu.sg/modules/256f63cb-079f-45b2-9501-6bf5fdf95bdf","LumiNUS course site")</f>
      </c>
      <c r="F1731" s="0" t="s">
        <v>73</v>
      </c>
      <c r="G1731" s="0" t="s">
        <v>1512</v>
      </c>
      <c r="H1731" s="3">
        <v>2</v>
      </c>
    </row>
    <row r="1732">
      <c r="A1732" s="0" t="s">
        <v>3246</v>
      </c>
      <c r="B1732" s="0" t="s">
        <v>3245</v>
      </c>
      <c r="C1732" s="5">
        <f>=HYPERLINK("https://nusmods.com/modules/LAF4203HM#timetable","Timetable")</f>
      </c>
      <c r="D1732" s="5">
        <f>=HYPERLINK("https://canvas.nus.edu.sg/courses/26313","Canvas course site")</f>
      </c>
      <c r="E1732" s="5">
        <f>=HYPERLINK("https://luminus.nus.edu.sg/modules/02b8ece4-4cdb-4ce3-b770-fd8469ee457a","LumiNUS course site")</f>
      </c>
      <c r="F1732" s="0" t="s">
        <v>73</v>
      </c>
      <c r="G1732" s="0" t="s">
        <v>1512</v>
      </c>
      <c r="H1732" s="3">
        <v>3</v>
      </c>
    </row>
    <row r="1733">
      <c r="A1733" s="0" t="s">
        <v>3247</v>
      </c>
      <c r="B1733" s="0" t="s">
        <v>3248</v>
      </c>
      <c r="C1733" s="5">
        <f>=HYPERLINK("https://nusmods.com/modules/LAG1201#timetable","Timetable")</f>
      </c>
      <c r="D1733" s="5"/>
      <c r="E1733" s="5">
        <f>=HYPERLINK("https://luminus.nus.edu.sg/modules/d7fec7b2-2e02-47b5-894a-20ad9a9f8f46","LumiNUS course site")</f>
      </c>
      <c r="F1733" s="0" t="s">
        <v>73</v>
      </c>
      <c r="G1733" s="0" t="s">
        <v>1512</v>
      </c>
      <c r="H1733" s="3">
        <v>168</v>
      </c>
    </row>
    <row r="1734">
      <c r="A1734" s="0" t="s">
        <v>3249</v>
      </c>
      <c r="B1734" s="0" t="s">
        <v>3250</v>
      </c>
      <c r="C1734" s="5">
        <f>=HYPERLINK("https://nusmods.com/modules/LAG2201#timetable","Timetable")</f>
      </c>
      <c r="D1734" s="5"/>
      <c r="E1734" s="5">
        <f>=HYPERLINK("https://luminus.nus.edu.sg/modules/62c1bd47-011f-49d2-89c5-228717eb3cea","LumiNUS course site")</f>
      </c>
      <c r="F1734" s="0" t="s">
        <v>73</v>
      </c>
      <c r="G1734" s="0" t="s">
        <v>1512</v>
      </c>
      <c r="H1734" s="3">
        <v>37</v>
      </c>
    </row>
    <row r="1735">
      <c r="A1735" s="0" t="s">
        <v>3251</v>
      </c>
      <c r="B1735" s="0" t="s">
        <v>3252</v>
      </c>
      <c r="C1735" s="5">
        <f>=HYPERLINK("https://nusmods.com/modules/LAG3201#timetable","Timetable")</f>
      </c>
      <c r="D1735" s="5"/>
      <c r="E1735" s="5">
        <f>=HYPERLINK("https://luminus.nus.edu.sg/modules/6e3c8036-239e-444a-962d-11ea863578d4","LumiNUS course site")</f>
      </c>
      <c r="F1735" s="0" t="s">
        <v>73</v>
      </c>
      <c r="G1735" s="0" t="s">
        <v>1512</v>
      </c>
      <c r="H1735" s="3">
        <v>35</v>
      </c>
    </row>
    <row r="1736">
      <c r="A1736" s="0" t="s">
        <v>3253</v>
      </c>
      <c r="B1736" s="0" t="s">
        <v>3254</v>
      </c>
      <c r="C1736" s="5">
        <f>=HYPERLINK("https://nusmods.com/modules/LAG4201#timetable","Timetable")</f>
      </c>
      <c r="D1736" s="5"/>
      <c r="E1736" s="5">
        <f>=HYPERLINK("https://luminus.nus.edu.sg/modules/a03b288d-7afc-4870-8510-a5c51cc33d1e","LumiNUS course site")</f>
      </c>
      <c r="F1736" s="0" t="s">
        <v>73</v>
      </c>
      <c r="G1736" s="0" t="s">
        <v>1512</v>
      </c>
      <c r="H1736" s="3">
        <v>1</v>
      </c>
    </row>
    <row r="1737">
      <c r="A1737" s="0" t="s">
        <v>3255</v>
      </c>
      <c r="B1737" s="0" t="s">
        <v>3254</v>
      </c>
      <c r="C1737" s="5">
        <f>=HYPERLINK("https://nusmods.com/modules/LAG4201HM#timetable","Timetable")</f>
      </c>
      <c r="D1737" s="5"/>
      <c r="E1737" s="5">
        <f>=HYPERLINK("https://luminus.nus.edu.sg/modules/a03b288d-7afc-4870-8510-a5c51cc33d1e","LumiNUS course site")</f>
      </c>
      <c r="F1737" s="0" t="s">
        <v>73</v>
      </c>
      <c r="G1737" s="0" t="s">
        <v>1512</v>
      </c>
      <c r="H1737" s="3">
        <v>31</v>
      </c>
    </row>
    <row r="1738">
      <c r="A1738" s="0" t="s">
        <v>3256</v>
      </c>
      <c r="B1738" s="0" t="s">
        <v>3257</v>
      </c>
      <c r="C1738" s="5">
        <f>=HYPERLINK("https://nusmods.com/modules/LAH1201#timetable","Timetable")</f>
      </c>
      <c r="D1738" s="5"/>
      <c r="E1738" s="5">
        <f>=HYPERLINK("https://luminus.nus.edu.sg/modules/6cc3195d-ddac-40ef-8042-49d52f582cb9","LumiNUS course site")</f>
      </c>
      <c r="F1738" s="0" t="s">
        <v>73</v>
      </c>
      <c r="G1738" s="0" t="s">
        <v>1512</v>
      </c>
      <c r="H1738" s="3">
        <v>13</v>
      </c>
    </row>
    <row r="1739">
      <c r="A1739" s="0" t="s">
        <v>3258</v>
      </c>
      <c r="B1739" s="0" t="s">
        <v>3259</v>
      </c>
      <c r="C1739" s="5">
        <f>=HYPERLINK("https://nusmods.com/modules/LAH2201#timetable","Timetable")</f>
      </c>
      <c r="D1739" s="5"/>
      <c r="E1739" s="5">
        <f>=HYPERLINK("https://luminus.nus.edu.sg/modules/a306f716-5ad4-4e27-a07c-048a0a99ba29","LumiNUS course site")</f>
      </c>
      <c r="F1739" s="0" t="s">
        <v>73</v>
      </c>
      <c r="G1739" s="0" t="s">
        <v>1512</v>
      </c>
      <c r="H1739" s="3">
        <v>4</v>
      </c>
    </row>
    <row r="1740">
      <c r="A1740" s="0" t="s">
        <v>3260</v>
      </c>
      <c r="B1740" s="0" t="s">
        <v>3261</v>
      </c>
      <c r="C1740" s="5">
        <f>=HYPERLINK("https://nusmods.com/modules/LAH3201#timetable","Timetable")</f>
      </c>
      <c r="D1740" s="5"/>
      <c r="E1740" s="5">
        <f>=HYPERLINK("https://luminus.nus.edu.sg/modules/975b432f-e8d5-4d7e-a5d2-c96a9597e761","LumiNUS course site")</f>
      </c>
      <c r="F1740" s="0" t="s">
        <v>73</v>
      </c>
      <c r="G1740" s="0" t="s">
        <v>1512</v>
      </c>
      <c r="H1740" s="3">
        <v>6</v>
      </c>
    </row>
    <row r="1741">
      <c r="A1741" s="0" t="s">
        <v>3262</v>
      </c>
      <c r="B1741" s="0" t="s">
        <v>3263</v>
      </c>
      <c r="C1741" s="5">
        <f>=HYPERLINK("https://nusmods.com/modules/LAJ1201#timetable","Timetable")</f>
      </c>
      <c r="D1741" s="5"/>
      <c r="E1741" s="5">
        <f>=HYPERLINK("https://luminus.nus.edu.sg/modules/1cef3498-9ef2-404d-a7eb-01c15d0fe492","LumiNUS course site")</f>
      </c>
      <c r="F1741" s="0" t="s">
        <v>73</v>
      </c>
      <c r="G1741" s="0" t="s">
        <v>1512</v>
      </c>
      <c r="H1741" s="3">
        <v>244</v>
      </c>
    </row>
    <row r="1742">
      <c r="A1742" s="0" t="s">
        <v>3264</v>
      </c>
      <c r="B1742" s="0" t="s">
        <v>3265</v>
      </c>
      <c r="C1742" s="5">
        <f>=HYPERLINK("https://nusmods.com/modules/LAJ2201#timetable","Timetable")</f>
      </c>
      <c r="D1742" s="5">
        <f>=HYPERLINK("https://canvas.nus.edu.sg/courses/22488","Canvas course site")</f>
      </c>
      <c r="E1742" s="5">
        <f>=HYPERLINK("https://luminus.nus.edu.sg/modules/3185bfa9-5baa-4316-94e9-587c64f019d6","LumiNUS course site")</f>
      </c>
      <c r="F1742" s="0" t="s">
        <v>73</v>
      </c>
      <c r="G1742" s="0" t="s">
        <v>1512</v>
      </c>
      <c r="H1742" s="3">
        <v>134</v>
      </c>
    </row>
    <row r="1743">
      <c r="A1743" s="0" t="s">
        <v>3266</v>
      </c>
      <c r="B1743" s="0" t="s">
        <v>3267</v>
      </c>
      <c r="C1743" s="5">
        <f>=HYPERLINK("https://nusmods.com/modules/LAJ2202#timetable","Timetable")</f>
      </c>
      <c r="D1743" s="5">
        <f>=HYPERLINK("https://canvas.nus.edu.sg/courses/25931","Canvas course site")</f>
      </c>
      <c r="E1743" s="5">
        <f>=HYPERLINK("https://luminus.nus.edu.sg/modules/743f0855-6714-4085-8e08-803eadb1c2d4","LumiNUS course site")</f>
      </c>
      <c r="F1743" s="0" t="s">
        <v>73</v>
      </c>
      <c r="G1743" s="0" t="s">
        <v>1512</v>
      </c>
      <c r="H1743" s="3">
        <v>104</v>
      </c>
    </row>
    <row r="1744">
      <c r="A1744" s="0" t="s">
        <v>3268</v>
      </c>
      <c r="B1744" s="0" t="s">
        <v>3269</v>
      </c>
      <c r="C1744" s="5">
        <f>=HYPERLINK("https://nusmods.com/modules/LAJ2203#timetable","Timetable")</f>
      </c>
      <c r="D1744" s="5">
        <f>=HYPERLINK("https://canvas.nus.edu.sg/courses/22489","Canvas course site")</f>
      </c>
      <c r="E1744" s="5">
        <f>=HYPERLINK("https://luminus.nus.edu.sg/modules/39006a3b-0489-4c1f-af52-dd9cf432e7ce","LumiNUS course site")</f>
      </c>
      <c r="F1744" s="0" t="s">
        <v>73</v>
      </c>
      <c r="G1744" s="0" t="s">
        <v>1512</v>
      </c>
      <c r="H1744" s="3">
        <v>72</v>
      </c>
    </row>
    <row r="1745">
      <c r="A1745" s="0" t="s">
        <v>3270</v>
      </c>
      <c r="B1745" s="0" t="s">
        <v>3271</v>
      </c>
      <c r="C1745" s="5">
        <f>=HYPERLINK("https://nusmods.com/modules/LAJ3201#timetable","Timetable")</f>
      </c>
      <c r="D1745" s="5">
        <f>=HYPERLINK("https://canvas.nus.edu.sg/courses/25937","Canvas course site")</f>
      </c>
      <c r="E1745" s="5">
        <f>=HYPERLINK("https://luminus.nus.edu.sg/modules/07e26b1f-7951-468e-900f-c357ade9701b","LumiNUS course site")</f>
      </c>
      <c r="F1745" s="0" t="s">
        <v>73</v>
      </c>
      <c r="G1745" s="0" t="s">
        <v>1512</v>
      </c>
      <c r="H1745" s="3">
        <v>56</v>
      </c>
    </row>
    <row r="1746">
      <c r="A1746" s="0" t="s">
        <v>3272</v>
      </c>
      <c r="B1746" s="0" t="s">
        <v>3273</v>
      </c>
      <c r="C1746" s="5">
        <f>=HYPERLINK("https://nusmods.com/modules/LAJ3202#timetable","Timetable")</f>
      </c>
      <c r="D1746" s="5">
        <f>=HYPERLINK("https://canvas.nus.edu.sg/courses/25941","Canvas course site")</f>
      </c>
      <c r="E1746" s="5">
        <f>=HYPERLINK("https://luminus.nus.edu.sg/modules/08eff647-e360-4520-830d-8de9f2d33aed","LumiNUS course site")</f>
      </c>
      <c r="F1746" s="0" t="s">
        <v>73</v>
      </c>
      <c r="G1746" s="0" t="s">
        <v>1512</v>
      </c>
      <c r="H1746" s="3">
        <v>52</v>
      </c>
    </row>
    <row r="1747">
      <c r="A1747" s="0" t="s">
        <v>3274</v>
      </c>
      <c r="B1747" s="0" t="s">
        <v>3275</v>
      </c>
      <c r="C1747" s="5">
        <f>=HYPERLINK("https://nusmods.com/modules/LAJ4205#timetable","Timetable")</f>
      </c>
      <c r="D1747" s="5">
        <f>=HYPERLINK("https://canvas.nus.edu.sg/courses/22490","Canvas course site")</f>
      </c>
      <c r="E1747" s="5">
        <f>=HYPERLINK("https://luminus.nus.edu.sg/modules/1aecb942-3bbe-4cd2-aab1-1f6b6e395e4b","LumiNUS course site")</f>
      </c>
      <c r="F1747" s="0" t="s">
        <v>73</v>
      </c>
      <c r="G1747" s="0" t="s">
        <v>1512</v>
      </c>
      <c r="H1747" s="3">
        <v>3</v>
      </c>
    </row>
    <row r="1748">
      <c r="A1748" s="0" t="s">
        <v>3276</v>
      </c>
      <c r="B1748" s="0" t="s">
        <v>3275</v>
      </c>
      <c r="C1748" s="5">
        <f>=HYPERLINK("https://nusmods.com/modules/LAJ4205HM#timetable","Timetable")</f>
      </c>
      <c r="D1748" s="5"/>
      <c r="E1748" s="5">
        <f>=HYPERLINK("https://luminus.nus.edu.sg/modules/1aecb942-3bbe-4cd2-aab1-1f6b6e395e4b","LumiNUS course site")</f>
      </c>
      <c r="F1748" s="0" t="s">
        <v>73</v>
      </c>
      <c r="G1748" s="0" t="s">
        <v>1512</v>
      </c>
      <c r="H1748" s="3">
        <v>5</v>
      </c>
    </row>
    <row r="1749">
      <c r="A1749" s="0" t="s">
        <v>3277</v>
      </c>
      <c r="B1749" s="0" t="s">
        <v>3278</v>
      </c>
      <c r="C1749" s="5">
        <f>=HYPERLINK("https://nusmods.com/modules/LAK1201#timetable","Timetable")</f>
      </c>
      <c r="D1749" s="5"/>
      <c r="E1749" s="5">
        <f>=HYPERLINK("https://luminus.nus.edu.sg/modules/6b110043-5d74-4d83-a0af-61884059b835","LumiNUS course site")</f>
      </c>
      <c r="F1749" s="0" t="s">
        <v>73</v>
      </c>
      <c r="G1749" s="0" t="s">
        <v>1512</v>
      </c>
      <c r="H1749" s="3">
        <v>268</v>
      </c>
    </row>
    <row r="1750">
      <c r="A1750" s="0" t="s">
        <v>3279</v>
      </c>
      <c r="B1750" s="0" t="s">
        <v>3280</v>
      </c>
      <c r="C1750" s="5">
        <f>=HYPERLINK("https://nusmods.com/modules/LAK2201#timetable","Timetable")</f>
      </c>
      <c r="D1750" s="5"/>
      <c r="E1750" s="5">
        <f>=HYPERLINK("https://luminus.nus.edu.sg/modules/057b83c3-2ef3-450f-98c2-0522edc3db86","LumiNUS course site")</f>
      </c>
      <c r="F1750" s="0" t="s">
        <v>73</v>
      </c>
      <c r="G1750" s="0" t="s">
        <v>1512</v>
      </c>
      <c r="H1750" s="3">
        <v>69</v>
      </c>
    </row>
    <row r="1751">
      <c r="A1751" s="0" t="s">
        <v>3281</v>
      </c>
      <c r="B1751" s="0" t="s">
        <v>3282</v>
      </c>
      <c r="C1751" s="5">
        <f>=HYPERLINK("https://nusmods.com/modules/LAK3201#timetable","Timetable")</f>
      </c>
      <c r="D1751" s="5"/>
      <c r="E1751" s="5">
        <f>=HYPERLINK("https://luminus.nus.edu.sg/modules/ef2ada47-111c-4b86-9510-a02d3abbfac8","LumiNUS course site")</f>
      </c>
      <c r="F1751" s="0" t="s">
        <v>73</v>
      </c>
      <c r="G1751" s="0" t="s">
        <v>1512</v>
      </c>
      <c r="H1751" s="3">
        <v>68</v>
      </c>
    </row>
    <row r="1752">
      <c r="A1752" s="0" t="s">
        <v>3283</v>
      </c>
      <c r="B1752" s="0" t="s">
        <v>3284</v>
      </c>
      <c r="C1752" s="5">
        <f>=HYPERLINK("https://nusmods.com/modules/LAK4201#timetable","Timetable")</f>
      </c>
      <c r="D1752" s="5"/>
      <c r="E1752" s="5">
        <f>=HYPERLINK("https://luminus.nus.edu.sg/modules/e60f4f87-bf03-4968-97e1-0932a0848248","LumiNUS course site")</f>
      </c>
      <c r="F1752" s="0" t="s">
        <v>73</v>
      </c>
      <c r="G1752" s="0" t="s">
        <v>1512</v>
      </c>
      <c r="H1752" s="3">
        <v>5</v>
      </c>
    </row>
    <row r="1753">
      <c r="A1753" s="0" t="s">
        <v>3285</v>
      </c>
      <c r="B1753" s="0" t="s">
        <v>3284</v>
      </c>
      <c r="C1753" s="5">
        <f>=HYPERLINK("https://nusmods.com/modules/LAK4201HM#timetable","Timetable")</f>
      </c>
      <c r="D1753" s="5"/>
      <c r="E1753" s="5">
        <f>=HYPERLINK("https://luminus.nus.edu.sg/modules/d3834132-fdc0-4dda-b7ec-8eabfa959532","LumiNUS course site")</f>
      </c>
      <c r="F1753" s="0" t="s">
        <v>73</v>
      </c>
      <c r="G1753" s="0" t="s">
        <v>1512</v>
      </c>
      <c r="H1753" s="3">
        <v>31</v>
      </c>
    </row>
    <row r="1754">
      <c r="A1754" s="0" t="s">
        <v>3286</v>
      </c>
      <c r="B1754" s="0" t="s">
        <v>3287</v>
      </c>
      <c r="C1754" s="5">
        <f>=HYPERLINK("https://nusmods.com/modules/LAK4203#timetable","Timetable")</f>
      </c>
      <c r="D1754" s="5"/>
      <c r="E1754" s="5">
        <f>=HYPERLINK("https://luminus.nus.edu.sg/modules/e32b95f7-7629-479d-af40-293a54776fc0","LumiNUS course site")</f>
      </c>
      <c r="F1754" s="0" t="s">
        <v>73</v>
      </c>
      <c r="G1754" s="0" t="s">
        <v>1512</v>
      </c>
      <c r="H1754" s="3">
        <v>0</v>
      </c>
    </row>
    <row r="1755">
      <c r="A1755" s="0" t="s">
        <v>3288</v>
      </c>
      <c r="B1755" s="0" t="s">
        <v>3287</v>
      </c>
      <c r="C1755" s="5">
        <f>=HYPERLINK("https://nusmods.com/modules/LAK4203HM#timetable","Timetable")</f>
      </c>
      <c r="D1755" s="5"/>
      <c r="E1755" s="5">
        <f>=HYPERLINK("https://luminus.nus.edu.sg/modules/e32b95f7-7629-479d-af40-293a54776fc0","LumiNUS course site")</f>
      </c>
      <c r="F1755" s="0" t="s">
        <v>73</v>
      </c>
      <c r="G1755" s="0" t="s">
        <v>1512</v>
      </c>
      <c r="H1755" s="3">
        <v>9</v>
      </c>
    </row>
    <row r="1756">
      <c r="A1756" s="0" t="s">
        <v>3289</v>
      </c>
      <c r="B1756" s="0" t="s">
        <v>3290</v>
      </c>
      <c r="C1756" s="5">
        <f>=HYPERLINK("https://nusmods.com/modules/LAL1201#timetable","Timetable")</f>
      </c>
      <c r="D1756" s="5"/>
      <c r="E1756" s="5">
        <f>=HYPERLINK("https://luminus.nus.edu.sg/modules/9fc024a9-12a9-4607-a295-3d98905032ff","LumiNUS course site")</f>
      </c>
      <c r="F1756" s="0" t="s">
        <v>73</v>
      </c>
      <c r="G1756" s="0" t="s">
        <v>1512</v>
      </c>
      <c r="H1756" s="3">
        <v>9</v>
      </c>
    </row>
    <row r="1757">
      <c r="A1757" s="0" t="s">
        <v>3291</v>
      </c>
      <c r="B1757" s="0" t="s">
        <v>3292</v>
      </c>
      <c r="C1757" s="5">
        <f>=HYPERLINK("https://nusmods.com/modules/LAM1201#timetable","Timetable")</f>
      </c>
      <c r="D1757" s="5"/>
      <c r="E1757" s="5">
        <f>=HYPERLINK("https://luminus.nus.edu.sg/modules/3ab0253c-aa64-4429-9769-e1bfd93fcc0f","LumiNUS course site")</f>
      </c>
      <c r="F1757" s="0" t="s">
        <v>73</v>
      </c>
      <c r="G1757" s="0" t="s">
        <v>1512</v>
      </c>
      <c r="H1757" s="3">
        <v>136</v>
      </c>
    </row>
    <row r="1758">
      <c r="A1758" s="0" t="s">
        <v>3293</v>
      </c>
      <c r="B1758" s="0" t="s">
        <v>3294</v>
      </c>
      <c r="C1758" s="5">
        <f>=HYPERLINK("https://nusmods.com/modules/LAM2201#timetable","Timetable")</f>
      </c>
      <c r="D1758" s="5">
        <f>=HYPERLINK("https://canvas.nus.edu.sg/courses/22493","Canvas course site")</f>
      </c>
      <c r="E1758" s="5">
        <f>=HYPERLINK("https://luminus.nus.edu.sg/modules/f5039aed-b443-4bba-817e-564b649e242d","LumiNUS course site")</f>
      </c>
      <c r="F1758" s="0" t="s">
        <v>73</v>
      </c>
      <c r="G1758" s="0" t="s">
        <v>1512</v>
      </c>
      <c r="H1758" s="3">
        <v>20</v>
      </c>
    </row>
    <row r="1759">
      <c r="A1759" s="0" t="s">
        <v>3295</v>
      </c>
      <c r="B1759" s="0" t="s">
        <v>3296</v>
      </c>
      <c r="C1759" s="5">
        <f>=HYPERLINK("https://nusmods.com/modules/LAM3201#timetable","Timetable")</f>
      </c>
      <c r="D1759" s="5"/>
      <c r="E1759" s="5">
        <f>=HYPERLINK("https://luminus.nus.edu.sg/modules/a1240754-3d84-41ab-9ecd-8ca1879bc47f","LumiNUS course site")</f>
      </c>
      <c r="F1759" s="0" t="s">
        <v>73</v>
      </c>
      <c r="G1759" s="0" t="s">
        <v>1512</v>
      </c>
      <c r="H1759" s="3">
        <v>5</v>
      </c>
    </row>
    <row r="1760">
      <c r="A1760" s="0" t="s">
        <v>3297</v>
      </c>
      <c r="B1760" s="0" t="s">
        <v>3298</v>
      </c>
      <c r="C1760" s="5">
        <f>=HYPERLINK("https://nusmods.com/modules/LAM3202#timetable","Timetable")</f>
      </c>
      <c r="D1760" s="5"/>
      <c r="E1760" s="5">
        <f>=HYPERLINK("https://luminus.nus.edu.sg/modules/51da99e9-f38d-4ac4-89fd-71dd5b5ab60a","LumiNUS course site")</f>
      </c>
      <c r="F1760" s="0" t="s">
        <v>73</v>
      </c>
      <c r="G1760" s="0" t="s">
        <v>1512</v>
      </c>
      <c r="H1760" s="3">
        <v>2</v>
      </c>
    </row>
    <row r="1761">
      <c r="A1761" s="0" t="s">
        <v>3299</v>
      </c>
      <c r="B1761" s="0" t="s">
        <v>3300</v>
      </c>
      <c r="C1761" s="5">
        <f>=HYPERLINK("https://nusmods.com/modules/LAM4201#timetable","Timetable")</f>
      </c>
      <c r="D1761" s="5">
        <f>=HYPERLINK("https://canvas.nus.edu.sg/courses/26318","Canvas course site")</f>
      </c>
      <c r="E1761" s="5">
        <f>=HYPERLINK("https://luminus.nus.edu.sg/modules/89caec57-5413-45be-a64a-1400b97272c1","LumiNUS course site")</f>
      </c>
      <c r="F1761" s="0" t="s">
        <v>73</v>
      </c>
      <c r="G1761" s="0" t="s">
        <v>1512</v>
      </c>
      <c r="H1761" s="3">
        <v>1</v>
      </c>
    </row>
    <row r="1762">
      <c r="A1762" s="0" t="s">
        <v>3301</v>
      </c>
      <c r="B1762" s="0" t="s">
        <v>3300</v>
      </c>
      <c r="C1762" s="5">
        <f>=HYPERLINK("https://nusmods.com/modules/LAM4201HM#timetable","Timetable")</f>
      </c>
      <c r="D1762" s="5">
        <f>=HYPERLINK("https://canvas.nus.edu.sg/courses/26318","Canvas course site")</f>
      </c>
      <c r="E1762" s="5">
        <f>=HYPERLINK("https://luminus.nus.edu.sg/modules/b9389b01-baa9-46c6-8f2c-8512c70ff070","LumiNUS course site")</f>
      </c>
      <c r="F1762" s="0" t="s">
        <v>73</v>
      </c>
      <c r="G1762" s="0" t="s">
        <v>1512</v>
      </c>
      <c r="H1762" s="3">
        <v>4</v>
      </c>
    </row>
    <row r="1763">
      <c r="A1763" s="0" t="s">
        <v>3302</v>
      </c>
      <c r="B1763" s="0" t="s">
        <v>3303</v>
      </c>
      <c r="C1763" s="5">
        <f>=HYPERLINK("https://nusmods.com/modules/LAR1201#timetable","Timetable")</f>
      </c>
      <c r="D1763" s="5"/>
      <c r="E1763" s="5">
        <f>=HYPERLINK("https://luminus.nus.edu.sg/modules/27f8198f-b0f6-4eb6-9c19-99df5338904d","LumiNUS course site")</f>
      </c>
      <c r="F1763" s="0" t="s">
        <v>73</v>
      </c>
      <c r="G1763" s="0" t="s">
        <v>1512</v>
      </c>
      <c r="H1763" s="3">
        <v>32</v>
      </c>
    </row>
    <row r="1764">
      <c r="A1764" s="0" t="s">
        <v>3304</v>
      </c>
      <c r="B1764" s="0" t="s">
        <v>3305</v>
      </c>
      <c r="C1764" s="5">
        <f>=HYPERLINK("https://nusmods.com/modules/LAR2201#timetable","Timetable")</f>
      </c>
      <c r="D1764" s="5"/>
      <c r="E1764" s="5">
        <f>=HYPERLINK("https://luminus.nus.edu.sg/modules/50df1b03-7bcd-4f44-b838-5c9cc4781c06","LumiNUS course site")</f>
      </c>
      <c r="F1764" s="0" t="s">
        <v>73</v>
      </c>
      <c r="G1764" s="0" t="s">
        <v>1512</v>
      </c>
      <c r="H1764" s="3">
        <v>12</v>
      </c>
    </row>
    <row r="1765">
      <c r="A1765" s="0" t="s">
        <v>3306</v>
      </c>
      <c r="B1765" s="0" t="s">
        <v>3307</v>
      </c>
      <c r="C1765" s="5">
        <f>=HYPERLINK("https://nusmods.com/modules/LAR3201#timetable","Timetable")</f>
      </c>
      <c r="D1765" s="5"/>
      <c r="E1765" s="5">
        <f>=HYPERLINK("https://luminus.nus.edu.sg/modules/8a8b7e92-dead-448f-8589-b70c6de47a89","LumiNUS course site")</f>
      </c>
      <c r="F1765" s="0" t="s">
        <v>73</v>
      </c>
      <c r="G1765" s="0" t="s">
        <v>1512</v>
      </c>
      <c r="H1765" s="3">
        <v>11</v>
      </c>
    </row>
    <row r="1766">
      <c r="A1766" s="0" t="s">
        <v>3308</v>
      </c>
      <c r="B1766" s="0" t="s">
        <v>3309</v>
      </c>
      <c r="C1766" s="5">
        <f>=HYPERLINK("https://nusmods.com/modules/LAR4201#timetable","Timetable")</f>
      </c>
      <c r="D1766" s="5"/>
      <c r="E1766" s="5">
        <f>=HYPERLINK("https://luminus.nus.edu.sg/modules/732cffed-e54d-4a78-aaa6-971f41062062","LumiNUS course site")</f>
      </c>
      <c r="F1766" s="0" t="s">
        <v>73</v>
      </c>
      <c r="G1766" s="0" t="s">
        <v>1512</v>
      </c>
      <c r="H1766" s="3">
        <v>1</v>
      </c>
    </row>
    <row r="1767">
      <c r="A1767" s="0" t="s">
        <v>3310</v>
      </c>
      <c r="B1767" s="0" t="s">
        <v>3309</v>
      </c>
      <c r="C1767" s="5">
        <f>=HYPERLINK("https://nusmods.com/modules/LAR4201HM#timetable","Timetable")</f>
      </c>
      <c r="D1767" s="5"/>
      <c r="E1767" s="5">
        <f>=HYPERLINK("https://luminus.nus.edu.sg/modules/732cffed-e54d-4a78-aaa6-971f41062062","LumiNUS course site")</f>
      </c>
      <c r="F1767" s="0" t="s">
        <v>73</v>
      </c>
      <c r="G1767" s="0" t="s">
        <v>1512</v>
      </c>
      <c r="H1767" s="3">
        <v>4</v>
      </c>
    </row>
    <row r="1768">
      <c r="A1768" s="0" t="s">
        <v>3311</v>
      </c>
      <c r="B1768" s="0" t="s">
        <v>3312</v>
      </c>
      <c r="C1768" s="5">
        <f>=HYPERLINK("https://nusmods.com/modules/LAS1201#timetable","Timetable")</f>
      </c>
      <c r="D1768" s="5"/>
      <c r="E1768" s="5">
        <f>=HYPERLINK("https://luminus.nus.edu.sg/modules/ed801404-d8ed-4532-94c5-181e775a0532","LumiNUS course site")</f>
      </c>
      <c r="F1768" s="0" t="s">
        <v>73</v>
      </c>
      <c r="G1768" s="0" t="s">
        <v>1512</v>
      </c>
      <c r="H1768" s="3">
        <v>265</v>
      </c>
    </row>
    <row r="1769">
      <c r="A1769" s="0" t="s">
        <v>3313</v>
      </c>
      <c r="B1769" s="0" t="s">
        <v>3314</v>
      </c>
      <c r="C1769" s="5">
        <f>=HYPERLINK("https://nusmods.com/modules/LAS2201#timetable","Timetable")</f>
      </c>
      <c r="D1769" s="5">
        <f>=HYPERLINK("https://canvas.nus.edu.sg/courses/22498","Canvas course site")</f>
      </c>
      <c r="E1769" s="5">
        <f>=HYPERLINK("https://luminus.nus.edu.sg/modules/d0f24108-2090-4ac5-b9d2-eae3dce88f63","LumiNUS course site")</f>
      </c>
      <c r="F1769" s="0" t="s">
        <v>73</v>
      </c>
      <c r="G1769" s="0" t="s">
        <v>1512</v>
      </c>
      <c r="H1769" s="3">
        <v>36</v>
      </c>
    </row>
    <row r="1770">
      <c r="A1770" s="0" t="s">
        <v>3315</v>
      </c>
      <c r="B1770" s="0" t="s">
        <v>3316</v>
      </c>
      <c r="C1770" s="5">
        <f>=HYPERLINK("https://nusmods.com/modules/LAS3201#timetable","Timetable")</f>
      </c>
      <c r="D1770" s="5"/>
      <c r="E1770" s="5">
        <f>=HYPERLINK("https://luminus.nus.edu.sg/modules/66c5a85f-e79c-4d00-b67c-ffaab1e75d85","LumiNUS course site")</f>
      </c>
      <c r="F1770" s="0" t="s">
        <v>73</v>
      </c>
      <c r="G1770" s="0" t="s">
        <v>1512</v>
      </c>
      <c r="H1770" s="3">
        <v>19</v>
      </c>
    </row>
    <row r="1771">
      <c r="A1771" s="0" t="s">
        <v>3317</v>
      </c>
      <c r="B1771" s="0" t="s">
        <v>3318</v>
      </c>
      <c r="C1771" s="5">
        <f>=HYPERLINK("https://nusmods.com/modules/LAS4201#timetable","Timetable")</f>
      </c>
      <c r="D1771" s="5">
        <f>=HYPERLINK("https://canvas.nus.edu.sg/courses/22500","Canvas course site")</f>
      </c>
      <c r="E1771" s="5">
        <f>=HYPERLINK("https://luminus.nus.edu.sg/modules/46c0217f-03f4-4a6f-9986-a124f3b881bf","LumiNUS course site")</f>
      </c>
      <c r="F1771" s="0" t="s">
        <v>73</v>
      </c>
      <c r="G1771" s="0" t="s">
        <v>1512</v>
      </c>
      <c r="H1771" s="3">
        <v>4</v>
      </c>
    </row>
    <row r="1772">
      <c r="A1772" s="0" t="s">
        <v>3319</v>
      </c>
      <c r="B1772" s="0" t="s">
        <v>3318</v>
      </c>
      <c r="C1772" s="5">
        <f>=HYPERLINK("https://nusmods.com/modules/LAS4201HM#timetable","Timetable")</f>
      </c>
      <c r="D1772" s="5">
        <f>=HYPERLINK("https://canvas.nus.edu.sg/courses/26319","Canvas course site")</f>
      </c>
      <c r="E1772" s="5">
        <f>=HYPERLINK("https://luminus.nus.edu.sg/modules/5a280dff-c263-4ece-a5d7-cf5b44fbb162","LumiNUS course site")</f>
      </c>
      <c r="F1772" s="0" t="s">
        <v>73</v>
      </c>
      <c r="G1772" s="0" t="s">
        <v>1512</v>
      </c>
      <c r="H1772" s="3">
        <v>9</v>
      </c>
    </row>
    <row r="1773">
      <c r="A1773" s="0" t="s">
        <v>3320</v>
      </c>
      <c r="B1773" s="0" t="s">
        <v>3321</v>
      </c>
      <c r="C1773" s="5">
        <f>=HYPERLINK("https://nusmods.com/modules/LAT1201#timetable","Timetable")</f>
      </c>
      <c r="D1773" s="5"/>
      <c r="E1773" s="5">
        <f>=HYPERLINK("https://luminus.nus.edu.sg/modules/91a9fdf8-4260-4a65-9b29-682aefa4aa97","LumiNUS course site")</f>
      </c>
      <c r="F1773" s="0" t="s">
        <v>73</v>
      </c>
      <c r="G1773" s="0" t="s">
        <v>1512</v>
      </c>
      <c r="H1773" s="3">
        <v>79</v>
      </c>
    </row>
    <row r="1774">
      <c r="A1774" s="0" t="s">
        <v>3322</v>
      </c>
      <c r="B1774" s="0" t="s">
        <v>3323</v>
      </c>
      <c r="C1774" s="5">
        <f>=HYPERLINK("https://nusmods.com/modules/LAT2201#timetable","Timetable")</f>
      </c>
      <c r="D1774" s="5"/>
      <c r="E1774" s="5">
        <f>=HYPERLINK("https://luminus.nus.edu.sg/modules/d8adda5d-ea98-4106-a7b4-f0a1931513ff","LumiNUS course site")</f>
      </c>
      <c r="F1774" s="0" t="s">
        <v>73</v>
      </c>
      <c r="G1774" s="0" t="s">
        <v>1512</v>
      </c>
      <c r="H1774" s="3">
        <v>20</v>
      </c>
    </row>
    <row r="1775">
      <c r="A1775" s="0" t="s">
        <v>3324</v>
      </c>
      <c r="B1775" s="0" t="s">
        <v>3325</v>
      </c>
      <c r="C1775" s="5">
        <f>=HYPERLINK("https://nusmods.com/modules/LAT3201#timetable","Timetable")</f>
      </c>
      <c r="D1775" s="5"/>
      <c r="E1775" s="5">
        <f>=HYPERLINK("https://luminus.nus.edu.sg/modules/df5852bb-2217-4626-976e-41379eff9587","LumiNUS course site")</f>
      </c>
      <c r="F1775" s="0" t="s">
        <v>73</v>
      </c>
      <c r="G1775" s="0" t="s">
        <v>1512</v>
      </c>
      <c r="H1775" s="3">
        <v>9</v>
      </c>
    </row>
    <row r="1776">
      <c r="A1776" s="0" t="s">
        <v>3326</v>
      </c>
      <c r="B1776" s="0" t="s">
        <v>3327</v>
      </c>
      <c r="C1776" s="5">
        <f>=HYPERLINK("https://nusmods.com/modules/LAT3202#timetable","Timetable")</f>
      </c>
      <c r="D1776" s="5"/>
      <c r="E1776" s="5">
        <f>=HYPERLINK("https://luminus.nus.edu.sg/modules/27c23723-8289-47c0-8d2c-5fb0645dce3f","LumiNUS course site")</f>
      </c>
      <c r="F1776" s="0" t="s">
        <v>73</v>
      </c>
      <c r="G1776" s="0" t="s">
        <v>1512</v>
      </c>
      <c r="H1776" s="3">
        <v>6</v>
      </c>
    </row>
    <row r="1777">
      <c r="A1777" s="0" t="s">
        <v>3328</v>
      </c>
      <c r="B1777" s="0" t="s">
        <v>3329</v>
      </c>
      <c r="C1777" s="5">
        <f>=HYPERLINK("https://nusmods.com/modules/LAT4201#timetable","Timetable")</f>
      </c>
      <c r="D1777" s="5"/>
      <c r="E1777" s="5">
        <f>=HYPERLINK("https://luminus.nus.edu.sg/modules/8c5e99ed-ccc7-4d65-bf8e-932155f8e710","LumiNUS course site")</f>
      </c>
      <c r="F1777" s="0" t="s">
        <v>73</v>
      </c>
      <c r="G1777" s="0" t="s">
        <v>1512</v>
      </c>
      <c r="H1777" s="3">
        <v>0</v>
      </c>
    </row>
    <row r="1778">
      <c r="A1778" s="0" t="s">
        <v>3330</v>
      </c>
      <c r="B1778" s="0" t="s">
        <v>3329</v>
      </c>
      <c r="C1778" s="5">
        <f>=HYPERLINK("https://nusmods.com/modules/LAT4201HM#timetable","Timetable")</f>
      </c>
      <c r="D1778" s="5"/>
      <c r="E1778" s="5">
        <f>=HYPERLINK("https://luminus.nus.edu.sg/modules/8c5e99ed-ccc7-4d65-bf8e-932155f8e710","LumiNUS course site")</f>
      </c>
      <c r="F1778" s="0" t="s">
        <v>73</v>
      </c>
      <c r="G1778" s="0" t="s">
        <v>1512</v>
      </c>
      <c r="H1778" s="3">
        <v>4</v>
      </c>
    </row>
    <row r="1779">
      <c r="A1779" s="0" t="s">
        <v>3331</v>
      </c>
      <c r="B1779" s="0" t="s">
        <v>3332</v>
      </c>
      <c r="C1779" s="5">
        <f>=HYPERLINK("https://nusmods.com/modules/LAT4203#timetable","Timetable")</f>
      </c>
      <c r="D1779" s="5"/>
      <c r="E1779" s="5">
        <f>=HYPERLINK("https://luminus.nus.edu.sg/modules/dd6caa43-5418-4d8f-bde1-5abd42de4260","LumiNUS course site")</f>
      </c>
      <c r="F1779" s="0" t="s">
        <v>73</v>
      </c>
      <c r="G1779" s="0" t="s">
        <v>1512</v>
      </c>
      <c r="H1779" s="3">
        <v>0</v>
      </c>
    </row>
    <row r="1780">
      <c r="A1780" s="0" t="s">
        <v>3333</v>
      </c>
      <c r="B1780" s="0" t="s">
        <v>3332</v>
      </c>
      <c r="C1780" s="5">
        <f>=HYPERLINK("https://nusmods.com/modules/LAT4203HM#timetable","Timetable")</f>
      </c>
      <c r="D1780" s="5"/>
      <c r="E1780" s="5">
        <f>=HYPERLINK("https://luminus.nus.edu.sg/modules/9eb60aee-6757-42b4-9b8a-40e51c2cbb7b","LumiNUS course site")</f>
      </c>
      <c r="F1780" s="0" t="s">
        <v>73</v>
      </c>
      <c r="G1780" s="0" t="s">
        <v>1512</v>
      </c>
      <c r="H1780" s="3">
        <v>2</v>
      </c>
    </row>
    <row r="1781">
      <c r="A1781" s="0" t="s">
        <v>3334</v>
      </c>
      <c r="B1781" s="0" t="s">
        <v>3335</v>
      </c>
      <c r="C1781" s="5">
        <f>=HYPERLINK("https://nusmods.com/modules/LAV1201#timetable","Timetable")</f>
      </c>
      <c r="D1781" s="5"/>
      <c r="E1781" s="5">
        <f>=HYPERLINK("https://luminus.nus.edu.sg/modules/a7c2540d-dd43-474a-b901-59e87f37fad7","LumiNUS course site")</f>
      </c>
      <c r="F1781" s="0" t="s">
        <v>73</v>
      </c>
      <c r="G1781" s="0" t="s">
        <v>1512</v>
      </c>
      <c r="H1781" s="3">
        <v>27</v>
      </c>
    </row>
    <row r="1782">
      <c r="A1782" s="0" t="s">
        <v>3336</v>
      </c>
      <c r="B1782" s="0" t="s">
        <v>3337</v>
      </c>
      <c r="C1782" s="5">
        <f>=HYPERLINK("https://nusmods.com/modules/LAV2201#timetable","Timetable")</f>
      </c>
      <c r="D1782" s="5"/>
      <c r="E1782" s="5">
        <f>=HYPERLINK("https://luminus.nus.edu.sg/modules/062633e4-c886-4feb-90ef-059183f3be2c","LumiNUS course site")</f>
      </c>
      <c r="F1782" s="0" t="s">
        <v>73</v>
      </c>
      <c r="G1782" s="0" t="s">
        <v>1512</v>
      </c>
      <c r="H1782" s="3">
        <v>8</v>
      </c>
    </row>
    <row r="1783">
      <c r="A1783" s="0" t="s">
        <v>3338</v>
      </c>
      <c r="B1783" s="0" t="s">
        <v>3339</v>
      </c>
      <c r="C1783" s="5">
        <f>=HYPERLINK("https://nusmods.com/modules/LAV3201#timetable","Timetable")</f>
      </c>
      <c r="D1783" s="5"/>
      <c r="E1783" s="5">
        <f>=HYPERLINK("https://luminus.nus.edu.sg/modules/01d56f08-be33-405a-b71a-5fbaf4bf198f","LumiNUS course site")</f>
      </c>
      <c r="F1783" s="0" t="s">
        <v>73</v>
      </c>
      <c r="G1783" s="0" t="s">
        <v>1512</v>
      </c>
      <c r="H1783" s="3">
        <v>2</v>
      </c>
    </row>
    <row r="1784">
      <c r="A1784" s="0" t="s">
        <v>3340</v>
      </c>
      <c r="B1784" s="0" t="s">
        <v>3341</v>
      </c>
      <c r="C1784" s="5">
        <f>=HYPERLINK("https://nusmods.com/modules/LAV4201#timetable","Timetable")</f>
      </c>
      <c r="D1784" s="5"/>
      <c r="E1784" s="5">
        <f>=HYPERLINK("https://luminus.nus.edu.sg/modules/0837d307-51aa-4d20-a8e8-4bcffde00cb4","LumiNUS course site")</f>
      </c>
      <c r="F1784" s="0" t="s">
        <v>73</v>
      </c>
      <c r="G1784" s="0" t="s">
        <v>1512</v>
      </c>
      <c r="H1784" s="3">
        <v>1</v>
      </c>
    </row>
    <row r="1785">
      <c r="A1785" s="0" t="s">
        <v>3342</v>
      </c>
      <c r="B1785" s="0" t="s">
        <v>3341</v>
      </c>
      <c r="C1785" s="5">
        <f>=HYPERLINK("https://nusmods.com/modules/LAV4201HM#timetable","Timetable")</f>
      </c>
      <c r="D1785" s="5"/>
      <c r="E1785" s="5">
        <f>=HYPERLINK("https://luminus.nus.edu.sg/modules/11f0126e-5e4d-482f-bf07-f26583a5ed79","LumiNUS course site")</f>
      </c>
      <c r="F1785" s="0" t="s">
        <v>73</v>
      </c>
      <c r="G1785" s="0" t="s">
        <v>1512</v>
      </c>
      <c r="H1785" s="3">
        <v>3</v>
      </c>
    </row>
    <row r="1786">
      <c r="A1786" s="0" t="s">
        <v>3343</v>
      </c>
      <c r="B1786" s="0" t="s">
        <v>3344</v>
      </c>
      <c r="C1786" s="5">
        <f>=HYPERLINK("https://nusmods.com/modules/LC1003#timetable","Timetable")</f>
      </c>
      <c r="D1786" s="5">
        <f>=HYPERLINK("https://canvas.nus.edu.sg/courses/22589","Canvas course site")</f>
      </c>
      <c r="E1786" s="5"/>
      <c r="F1786" s="0" t="s">
        <v>3345</v>
      </c>
      <c r="G1786" s="0" t="s">
        <v>3346</v>
      </c>
      <c r="H1786" s="3">
        <v>263</v>
      </c>
    </row>
    <row r="1787">
      <c r="A1787" s="0" t="s">
        <v>3347</v>
      </c>
      <c r="B1787" s="0" t="s">
        <v>3348</v>
      </c>
      <c r="C1787" s="5">
        <f>=HYPERLINK("https://nusmods.com/modules/LC1004#timetable","Timetable")</f>
      </c>
      <c r="D1787" s="5"/>
      <c r="E1787" s="5">
        <f>=HYPERLINK("https://luminus.nus.edu.sg/modules/311ccdcb-67d7-4990-a609-7086a64d95ce","LumiNUS course site")</f>
      </c>
      <c r="F1787" s="0" t="s">
        <v>3345</v>
      </c>
      <c r="G1787" s="0" t="s">
        <v>3346</v>
      </c>
      <c r="H1787" s="3">
        <v>263</v>
      </c>
    </row>
    <row r="1788">
      <c r="A1788" s="0" t="s">
        <v>3349</v>
      </c>
      <c r="B1788" s="0" t="s">
        <v>3350</v>
      </c>
      <c r="C1788" s="5">
        <f>=HYPERLINK("https://nusmods.com/modules/LC1016#timetable","Timetable")</f>
      </c>
      <c r="D1788" s="5"/>
      <c r="E1788" s="5">
        <f>=HYPERLINK("https://luminus.nus.edu.sg/modules/0d251112-eac2-4d49-91d8-4940fd50cf28","LumiNUS course site")</f>
      </c>
      <c r="F1788" s="0" t="s">
        <v>3345</v>
      </c>
      <c r="G1788" s="0" t="s">
        <v>3346</v>
      </c>
      <c r="H1788" s="3">
        <v>263</v>
      </c>
    </row>
    <row r="1789">
      <c r="A1789" s="0" t="s">
        <v>3351</v>
      </c>
      <c r="B1789" s="0" t="s">
        <v>3352</v>
      </c>
      <c r="C1789" s="5">
        <f>=HYPERLINK("https://nusmods.com/modules/LC1025#timetable","Timetable")</f>
      </c>
      <c r="D1789" s="5"/>
      <c r="E1789" s="5">
        <f>=HYPERLINK("https://luminus.nus.edu.sg/modules/9864038d-09cd-42a6-9db2-10614009c0c7","LumiNUS course site")</f>
      </c>
      <c r="F1789" s="0" t="s">
        <v>3345</v>
      </c>
      <c r="G1789" s="0" t="s">
        <v>3346</v>
      </c>
      <c r="H1789" s="3">
        <v>263</v>
      </c>
    </row>
    <row r="1790">
      <c r="A1790" s="0" t="s">
        <v>3353</v>
      </c>
      <c r="B1790" s="0" t="s">
        <v>3354</v>
      </c>
      <c r="C1790" s="5">
        <f>=HYPERLINK("https://nusmods.com/modules/LC2004#timetable","Timetable")</f>
      </c>
      <c r="D1790" s="5"/>
      <c r="E1790" s="5">
        <f>=HYPERLINK("https://luminus.nus.edu.sg/modules/c589a200-8ff4-47d9-b12a-b768bd0333d4","LumiNUS course site")</f>
      </c>
      <c r="F1790" s="0" t="s">
        <v>3345</v>
      </c>
      <c r="G1790" s="0" t="s">
        <v>3346</v>
      </c>
      <c r="H1790" s="3">
        <v>247</v>
      </c>
    </row>
    <row r="1791">
      <c r="A1791" s="0" t="s">
        <v>3355</v>
      </c>
      <c r="B1791" s="0" t="s">
        <v>3356</v>
      </c>
      <c r="C1791" s="5">
        <f>=HYPERLINK("https://nusmods.com/modules/LC2008A#timetable","Timetable")</f>
      </c>
      <c r="D1791" s="5">
        <f>=HYPERLINK("https://canvas.nus.edu.sg/courses/22614","Canvas course site")</f>
      </c>
      <c r="E1791" s="5"/>
      <c r="F1791" s="0" t="s">
        <v>3345</v>
      </c>
      <c r="G1791" s="0" t="s">
        <v>3346</v>
      </c>
      <c r="H1791" s="3">
        <v>32</v>
      </c>
    </row>
    <row r="1792">
      <c r="A1792" s="0" t="s">
        <v>3357</v>
      </c>
      <c r="B1792" s="0" t="s">
        <v>3358</v>
      </c>
      <c r="C1792" s="5">
        <f>=HYPERLINK("https://nusmods.com/modules/LC2008B#timetable","Timetable")</f>
      </c>
      <c r="D1792" s="5"/>
      <c r="E1792" s="5">
        <f>=HYPERLINK("https://luminus.nus.edu.sg/modules/c3cc59e7-b18c-4ffc-854a-a0075710aa09","LumiNUS course site")</f>
      </c>
      <c r="F1792" s="0" t="s">
        <v>3345</v>
      </c>
      <c r="G1792" s="0" t="s">
        <v>3346</v>
      </c>
      <c r="H1792" s="3">
        <v>30</v>
      </c>
    </row>
    <row r="1793">
      <c r="A1793" s="0" t="s">
        <v>3359</v>
      </c>
      <c r="B1793" s="0" t="s">
        <v>3360</v>
      </c>
      <c r="C1793" s="5">
        <f>=HYPERLINK("https://nusmods.com/modules/LC2008C#timetable","Timetable")</f>
      </c>
      <c r="D1793" s="5"/>
      <c r="E1793" s="5">
        <f>=HYPERLINK("https://luminus.nus.edu.sg/modules/0fba2d5c-9015-483b-be43-cff285a560a3","LumiNUS course site")</f>
      </c>
      <c r="F1793" s="0" t="s">
        <v>3345</v>
      </c>
      <c r="G1793" s="0" t="s">
        <v>3346</v>
      </c>
      <c r="H1793" s="3">
        <v>31</v>
      </c>
    </row>
    <row r="1794">
      <c r="A1794" s="0" t="s">
        <v>3361</v>
      </c>
      <c r="B1794" s="0" t="s">
        <v>3362</v>
      </c>
      <c r="C1794" s="5">
        <f>=HYPERLINK("https://nusmods.com/modules/LC2008D#timetable","Timetable")</f>
      </c>
      <c r="D1794" s="5"/>
      <c r="E1794" s="5">
        <f>=HYPERLINK("https://luminus.nus.edu.sg/modules/eba6b619-9d9a-4312-b7c7-b4afca5fc81e","LumiNUS course site")</f>
      </c>
      <c r="F1794" s="0" t="s">
        <v>3345</v>
      </c>
      <c r="G1794" s="0" t="s">
        <v>3346</v>
      </c>
      <c r="H1794" s="3">
        <v>32</v>
      </c>
    </row>
    <row r="1795">
      <c r="A1795" s="0" t="s">
        <v>3363</v>
      </c>
      <c r="B1795" s="0" t="s">
        <v>3364</v>
      </c>
      <c r="C1795" s="5">
        <f>=HYPERLINK("https://nusmods.com/modules/LC2008E#timetable","Timetable")</f>
      </c>
      <c r="D1795" s="5"/>
      <c r="E1795" s="5">
        <f>=HYPERLINK("https://luminus.nus.edu.sg/modules/d6a4710f-6e1a-44f7-ab75-7c9abe68daed","LumiNUS course site")</f>
      </c>
      <c r="F1795" s="0" t="s">
        <v>3345</v>
      </c>
      <c r="G1795" s="0" t="s">
        <v>3346</v>
      </c>
      <c r="H1795" s="3">
        <v>31</v>
      </c>
    </row>
    <row r="1796">
      <c r="A1796" s="0" t="s">
        <v>3365</v>
      </c>
      <c r="B1796" s="0" t="s">
        <v>3366</v>
      </c>
      <c r="C1796" s="5">
        <f>=HYPERLINK("https://nusmods.com/modules/LC2008F#timetable","Timetable")</f>
      </c>
      <c r="D1796" s="5"/>
      <c r="E1796" s="5">
        <f>=HYPERLINK("https://luminus.nus.edu.sg/modules/0487379a-73a4-4a5e-92af-1cd229b9e18a","LumiNUS course site")</f>
      </c>
      <c r="F1796" s="0" t="s">
        <v>3345</v>
      </c>
      <c r="G1796" s="0" t="s">
        <v>3346</v>
      </c>
      <c r="H1796" s="3">
        <v>30</v>
      </c>
    </row>
    <row r="1797">
      <c r="A1797" s="0" t="s">
        <v>3367</v>
      </c>
      <c r="B1797" s="0" t="s">
        <v>3368</v>
      </c>
      <c r="C1797" s="5">
        <f>=HYPERLINK("https://nusmods.com/modules/LC2008G#timetable","Timetable")</f>
      </c>
      <c r="D1797" s="5">
        <f>=HYPERLINK("https://canvas.nus.edu.sg/courses/22642","Canvas course site")</f>
      </c>
      <c r="E1797" s="5"/>
      <c r="F1797" s="0" t="s">
        <v>3345</v>
      </c>
      <c r="G1797" s="0" t="s">
        <v>3346</v>
      </c>
      <c r="H1797" s="3">
        <v>32</v>
      </c>
    </row>
    <row r="1798">
      <c r="A1798" s="0" t="s">
        <v>3369</v>
      </c>
      <c r="B1798" s="0" t="s">
        <v>3370</v>
      </c>
      <c r="C1798" s="5">
        <f>=HYPERLINK("https://nusmods.com/modules/LC2008H#timetable","Timetable")</f>
      </c>
      <c r="D1798" s="5"/>
      <c r="E1798" s="5">
        <f>=HYPERLINK("https://luminus.nus.edu.sg/modules/0931b3e1-b59e-4e09-af75-c8acd5ecfb5f","LumiNUS course site")</f>
      </c>
      <c r="F1798" s="0" t="s">
        <v>3345</v>
      </c>
      <c r="G1798" s="0" t="s">
        <v>3346</v>
      </c>
      <c r="H1798" s="3">
        <v>30</v>
      </c>
    </row>
    <row r="1799">
      <c r="A1799" s="0" t="s">
        <v>3371</v>
      </c>
      <c r="B1799" s="0" t="s">
        <v>3372</v>
      </c>
      <c r="C1799" s="5">
        <f>=HYPERLINK("https://nusmods.com/modules/LC2009#timetable","Timetable")</f>
      </c>
      <c r="D1799" s="5"/>
      <c r="E1799" s="5">
        <f>=HYPERLINK("https://luminus.nus.edu.sg/modules/42cec77f-6be0-4463-afa5-e376d3b2ca34","LumiNUS course site")</f>
      </c>
      <c r="F1799" s="0" t="s">
        <v>3345</v>
      </c>
      <c r="G1799" s="0" t="s">
        <v>3346</v>
      </c>
      <c r="H1799" s="3">
        <v>571</v>
      </c>
    </row>
    <row r="1800">
      <c r="A1800" s="0" t="s">
        <v>3373</v>
      </c>
      <c r="B1800" s="0" t="s">
        <v>3374</v>
      </c>
      <c r="C1800" s="5">
        <f>=HYPERLINK("https://nusmods.com/modules/LC2010A#timetable","Timetable")</f>
      </c>
      <c r="D1800" s="5"/>
      <c r="E1800" s="5">
        <f>=HYPERLINK("https://luminus.nus.edu.sg/modules/78154a1f-59c4-4028-9f59-79d3cb4ce0e4","LumiNUS course site")</f>
      </c>
      <c r="F1800" s="0" t="s">
        <v>3345</v>
      </c>
      <c r="G1800" s="0" t="s">
        <v>3346</v>
      </c>
      <c r="H1800" s="3">
        <v>43</v>
      </c>
    </row>
    <row r="1801">
      <c r="A1801" s="0" t="s">
        <v>3375</v>
      </c>
      <c r="B1801" s="0" t="s">
        <v>3376</v>
      </c>
      <c r="C1801" s="5">
        <f>=HYPERLINK("https://nusmods.com/modules/LC2010B#timetable","Timetable")</f>
      </c>
      <c r="D1801" s="5"/>
      <c r="E1801" s="5">
        <f>=HYPERLINK("https://luminus.nus.edu.sg/modules/5cb601bb-d16c-4f4e-bac7-8a021f2c98ac","LumiNUS course site")</f>
      </c>
      <c r="F1801" s="0" t="s">
        <v>3345</v>
      </c>
      <c r="G1801" s="0" t="s">
        <v>3346</v>
      </c>
      <c r="H1801" s="3">
        <v>24</v>
      </c>
    </row>
    <row r="1802">
      <c r="A1802" s="0" t="s">
        <v>3377</v>
      </c>
      <c r="B1802" s="0" t="s">
        <v>3378</v>
      </c>
      <c r="C1802" s="5">
        <f>=HYPERLINK("https://nusmods.com/modules/LC2010C#timetable","Timetable")</f>
      </c>
      <c r="D1802" s="5"/>
      <c r="E1802" s="5">
        <f>=HYPERLINK("https://luminus.nus.edu.sg/modules/2cf35e2c-2061-41ec-a197-235c61a055f0","LumiNUS course site")</f>
      </c>
      <c r="F1802" s="0" t="s">
        <v>3345</v>
      </c>
      <c r="G1802" s="0" t="s">
        <v>3346</v>
      </c>
      <c r="H1802" s="3">
        <v>43</v>
      </c>
    </row>
    <row r="1803">
      <c r="A1803" s="0" t="s">
        <v>3379</v>
      </c>
      <c r="B1803" s="0" t="s">
        <v>3380</v>
      </c>
      <c r="C1803" s="5">
        <f>=HYPERLINK("https://nusmods.com/modules/LC2010D#timetable","Timetable")</f>
      </c>
      <c r="D1803" s="5"/>
      <c r="E1803" s="5">
        <f>=HYPERLINK("https://luminus.nus.edu.sg/modules/5cb601bb-d16c-4f4e-bac7-8a021f2c98ac","LumiNUS course site")</f>
      </c>
      <c r="F1803" s="0" t="s">
        <v>3345</v>
      </c>
      <c r="G1803" s="0" t="s">
        <v>3346</v>
      </c>
      <c r="H1803" s="3">
        <v>43</v>
      </c>
    </row>
    <row r="1804">
      <c r="A1804" s="0" t="s">
        <v>3381</v>
      </c>
      <c r="B1804" s="0" t="s">
        <v>3382</v>
      </c>
      <c r="C1804" s="5">
        <f>=HYPERLINK("https://nusmods.com/modules/LC2010G#timetable","Timetable")</f>
      </c>
      <c r="D1804" s="5"/>
      <c r="E1804" s="5">
        <f>=HYPERLINK("https://luminus.nus.edu.sg/modules/72fe462d-35ab-43f2-a045-e8aa9420dd57","LumiNUS course site")</f>
      </c>
      <c r="F1804" s="0" t="s">
        <v>3345</v>
      </c>
      <c r="G1804" s="0" t="s">
        <v>3346</v>
      </c>
      <c r="H1804" s="3">
        <v>45</v>
      </c>
    </row>
    <row r="1805">
      <c r="A1805" s="0" t="s">
        <v>3383</v>
      </c>
      <c r="B1805" s="0" t="s">
        <v>3384</v>
      </c>
      <c r="C1805" s="5">
        <f>=HYPERLINK("https://nusmods.com/modules/LC2010H#timetable","Timetable")</f>
      </c>
      <c r="D1805" s="5"/>
      <c r="E1805" s="5">
        <f>=HYPERLINK("https://luminus.nus.edu.sg/modules/e7a35d2a-4178-44a6-843a-c87b05a95e04","LumiNUS course site")</f>
      </c>
      <c r="F1805" s="0" t="s">
        <v>3345</v>
      </c>
      <c r="G1805" s="0" t="s">
        <v>3346</v>
      </c>
      <c r="H1805" s="3">
        <v>43</v>
      </c>
    </row>
    <row r="1806">
      <c r="A1806" s="0" t="s">
        <v>3385</v>
      </c>
      <c r="B1806" s="0" t="s">
        <v>3386</v>
      </c>
      <c r="C1806" s="5">
        <f>=HYPERLINK("https://nusmods.com/modules/LC3001A#timetable","Timetable")</f>
      </c>
      <c r="D1806" s="5"/>
      <c r="E1806" s="5">
        <f>=HYPERLINK("https://luminus.nus.edu.sg/modules/ac30c1a0-7616-477c-a4db-5c58f906a1aa","LumiNUS course site")</f>
      </c>
      <c r="F1806" s="0" t="s">
        <v>3345</v>
      </c>
      <c r="G1806" s="0" t="s">
        <v>3346</v>
      </c>
      <c r="H1806" s="3">
        <v>191</v>
      </c>
    </row>
    <row r="1807">
      <c r="A1807" s="0" t="s">
        <v>3387</v>
      </c>
      <c r="B1807" s="0" t="s">
        <v>3374</v>
      </c>
      <c r="C1807" s="5">
        <f>=HYPERLINK("https://nusmods.com/modules/LC5010A#timetable","Timetable")</f>
      </c>
      <c r="D1807" s="5"/>
      <c r="E1807" s="5">
        <f>=HYPERLINK("https://luminus.nus.edu.sg/modules/5cb601bb-d16c-4f4e-bac7-8a021f2c98ac","LumiNUS course site")</f>
      </c>
      <c r="F1807" s="0" t="s">
        <v>3345</v>
      </c>
      <c r="G1807" s="0" t="s">
        <v>3346</v>
      </c>
      <c r="H1807" s="3">
        <v>8</v>
      </c>
    </row>
    <row r="1808">
      <c r="A1808" s="0" t="s">
        <v>3388</v>
      </c>
      <c r="B1808" s="0" t="s">
        <v>3389</v>
      </c>
      <c r="C1808" s="5">
        <f>=HYPERLINK("https://nusmods.com/modules/LC5050V#timetable","Timetable")</f>
      </c>
      <c r="D1808" s="5">
        <f>=HYPERLINK("https://canvas.nus.edu.sg/courses/22698","Canvas course site")</f>
      </c>
      <c r="E1808" s="5">
        <f>=HYPERLINK("https://luminus.nus.edu.sg/modules/7a699d15-7fad-4e4b-ab91-74babb430c03","LumiNUS course site")</f>
      </c>
      <c r="F1808" s="0" t="s">
        <v>3345</v>
      </c>
      <c r="G1808" s="0" t="s">
        <v>3346</v>
      </c>
      <c r="H1808" s="3">
        <v>7</v>
      </c>
    </row>
    <row r="1809">
      <c r="A1809" s="0" t="s">
        <v>3390</v>
      </c>
      <c r="B1809" s="0" t="s">
        <v>3391</v>
      </c>
      <c r="C1809" s="5">
        <f>=HYPERLINK("https://nusmods.com/modules/LC5070V#timetable","Timetable")</f>
      </c>
      <c r="D1809" s="5"/>
      <c r="E1809" s="5">
        <f>=HYPERLINK("https://luminus.nus.edu.sg/modules/4c83e850-ae3f-4c2c-ba18-8449e13740e6","LumiNUS course site")</f>
      </c>
      <c r="F1809" s="0" t="s">
        <v>3345</v>
      </c>
      <c r="G1809" s="0" t="s">
        <v>3346</v>
      </c>
      <c r="H1809" s="3">
        <v>1</v>
      </c>
    </row>
    <row r="1810">
      <c r="A1810" s="0" t="s">
        <v>3392</v>
      </c>
      <c r="B1810" s="0" t="s">
        <v>3393</v>
      </c>
      <c r="C1810" s="5">
        <f>=HYPERLINK("https://nusmods.com/modules/LC5204AV#timetable","Timetable")</f>
      </c>
      <c r="D1810" s="5"/>
      <c r="E1810" s="5">
        <f>=HYPERLINK("https://luminus.nus.edu.sg/modules/c6a4a21c-d1ef-4d88-85f9-d8b777130bc1","LumiNUS course site")</f>
      </c>
      <c r="F1810" s="0" t="s">
        <v>3345</v>
      </c>
      <c r="G1810" s="0" t="s">
        <v>3346</v>
      </c>
      <c r="H1810" s="3">
        <v>18</v>
      </c>
    </row>
    <row r="1811">
      <c r="A1811" s="0" t="s">
        <v>3394</v>
      </c>
      <c r="B1811" s="0" t="s">
        <v>3395</v>
      </c>
      <c r="C1811" s="5">
        <f>=HYPERLINK("https://nusmods.com/modules/LC5230#timetable","Timetable")</f>
      </c>
      <c r="D1811" s="5"/>
      <c r="E1811" s="5">
        <f>=HYPERLINK("https://luminus.nus.edu.sg/modules/ab77feca-4c59-485c-a04a-f2a7908a0506","LumiNUS course site")</f>
      </c>
      <c r="F1811" s="0" t="s">
        <v>3345</v>
      </c>
      <c r="G1811" s="0" t="s">
        <v>3346</v>
      </c>
      <c r="H1811" s="3">
        <v>62</v>
      </c>
    </row>
    <row r="1812">
      <c r="A1812" s="0" t="s">
        <v>3396</v>
      </c>
      <c r="B1812" s="0" t="s">
        <v>3397</v>
      </c>
      <c r="C1812" s="5">
        <f>=HYPERLINK("https://nusmods.com/modules/LC5262#timetable","Timetable")</f>
      </c>
      <c r="D1812" s="5"/>
      <c r="E1812" s="5">
        <f>=HYPERLINK("https://luminus.nus.edu.sg/modules/bedf3e11-84b2-4ecc-bc67-a80c477549fb","LumiNUS course site")</f>
      </c>
      <c r="F1812" s="0" t="s">
        <v>3345</v>
      </c>
      <c r="G1812" s="0" t="s">
        <v>3346</v>
      </c>
      <c r="H1812" s="3">
        <v>42</v>
      </c>
    </row>
    <row r="1813">
      <c r="A1813" s="0" t="s">
        <v>3398</v>
      </c>
      <c r="B1813" s="0" t="s">
        <v>3399</v>
      </c>
      <c r="C1813" s="5">
        <f>=HYPERLINK("https://nusmods.com/modules/LC5285V#timetable","Timetable")</f>
      </c>
      <c r="D1813" s="5"/>
      <c r="E1813" s="5">
        <f>=HYPERLINK("https://luminus.nus.edu.sg/modules/c1367b3f-f120-4f9c-a8ad-d6cb3415464b","LumiNUS course site")</f>
      </c>
      <c r="F1813" s="0" t="s">
        <v>3345</v>
      </c>
      <c r="G1813" s="0" t="s">
        <v>3346</v>
      </c>
      <c r="H1813" s="3">
        <v>42</v>
      </c>
    </row>
    <row r="1814">
      <c r="A1814" s="0" t="s">
        <v>3400</v>
      </c>
      <c r="B1814" s="0" t="s">
        <v>3401</v>
      </c>
      <c r="C1814" s="5">
        <f>=HYPERLINK("https://nusmods.com/modules/LC5336#timetable","Timetable")</f>
      </c>
      <c r="D1814" s="5"/>
      <c r="E1814" s="5">
        <f>=HYPERLINK("https://luminus.nus.edu.sg/modules/c2ac1689-96b0-4e18-8814-f37ea0f5e7d1","LumiNUS course site")</f>
      </c>
      <c r="F1814" s="0" t="s">
        <v>3345</v>
      </c>
      <c r="G1814" s="0" t="s">
        <v>3346</v>
      </c>
      <c r="H1814" s="3">
        <v>43</v>
      </c>
    </row>
    <row r="1815">
      <c r="A1815" s="0" t="s">
        <v>3402</v>
      </c>
      <c r="B1815" s="0" t="s">
        <v>3403</v>
      </c>
      <c r="C1815" s="5">
        <f>=HYPERLINK("https://nusmods.com/modules/LC5337#timetable","Timetable")</f>
      </c>
      <c r="D1815" s="5"/>
      <c r="E1815" s="5">
        <f>=HYPERLINK("https://luminus.nus.edu.sg/modules/264f679a-45ef-4929-91ef-105dde8ca381","LumiNUS course site")</f>
      </c>
      <c r="F1815" s="0" t="s">
        <v>3345</v>
      </c>
      <c r="G1815" s="0" t="s">
        <v>3346</v>
      </c>
      <c r="H1815" s="3">
        <v>105</v>
      </c>
    </row>
    <row r="1816">
      <c r="A1816" s="0" t="s">
        <v>3404</v>
      </c>
      <c r="B1816" s="0" t="s">
        <v>3405</v>
      </c>
      <c r="C1816" s="5">
        <f>=HYPERLINK("https://nusmods.com/modules/LC5405A#timetable","Timetable")</f>
      </c>
      <c r="D1816" s="5"/>
      <c r="E1816" s="5">
        <f>=HYPERLINK("https://luminus.nus.edu.sg/modules/98df3a4e-0653-4b1e-a29a-09714c52c7da","LumiNUS course site")</f>
      </c>
      <c r="F1816" s="0" t="s">
        <v>3345</v>
      </c>
      <c r="G1816" s="0" t="s">
        <v>3346</v>
      </c>
      <c r="H1816" s="3">
        <v>8</v>
      </c>
    </row>
    <row r="1817">
      <c r="A1817" s="0" t="s">
        <v>3406</v>
      </c>
      <c r="B1817" s="0" t="s">
        <v>3407</v>
      </c>
      <c r="C1817" s="5">
        <f>=HYPERLINK("https://nusmods.com/modules/LC6378#timetable","Timetable")</f>
      </c>
      <c r="D1817" s="5"/>
      <c r="E1817" s="5"/>
      <c r="F1817" s="0" t="s">
        <v>3345</v>
      </c>
      <c r="G1817" s="0" t="s">
        <v>3346</v>
      </c>
      <c r="H1817" s="3">
        <v>3</v>
      </c>
    </row>
    <row r="1818">
      <c r="A1818" s="0" t="s">
        <v>3408</v>
      </c>
      <c r="B1818" s="0" t="s">
        <v>3409</v>
      </c>
      <c r="C1818" s="5">
        <f>=HYPERLINK("https://nusmods.com/modules/LCC5366#timetable","Timetable")</f>
      </c>
      <c r="D1818" s="5"/>
      <c r="E1818" s="5">
        <f>=HYPERLINK("https://luminus.nus.edu.sg/modules/b8ca47cf-4d26-4848-965e-d8835f4a0a06","LumiNUS course site")</f>
      </c>
      <c r="F1818" s="0" t="s">
        <v>3345</v>
      </c>
      <c r="G1818" s="0" t="s">
        <v>3346</v>
      </c>
      <c r="H1818" s="3">
        <v>29</v>
      </c>
    </row>
    <row r="1819">
      <c r="A1819" s="0" t="s">
        <v>3410</v>
      </c>
      <c r="B1819" s="0" t="s">
        <v>3411</v>
      </c>
      <c r="C1819" s="5">
        <f>=HYPERLINK("https://nusmods.com/modules/LCC5466#timetable","Timetable")</f>
      </c>
      <c r="D1819" s="5"/>
      <c r="E1819" s="5">
        <f>=HYPERLINK("https://luminus.nus.edu.sg/modules/50f20c99-7cd2-4d23-9d65-bf3c1773dbf1","LumiNUS course site")</f>
      </c>
      <c r="F1819" s="0" t="s">
        <v>3345</v>
      </c>
      <c r="G1819" s="0" t="s">
        <v>3346</v>
      </c>
      <c r="H1819" s="3">
        <v>29</v>
      </c>
    </row>
    <row r="1820">
      <c r="A1820" s="0" t="s">
        <v>3412</v>
      </c>
      <c r="B1820" s="0" t="s">
        <v>3413</v>
      </c>
      <c r="C1820" s="5">
        <f>=HYPERLINK("https://nusmods.com/modules/LCC5467#timetable","Timetable")</f>
      </c>
      <c r="D1820" s="5"/>
      <c r="E1820" s="5">
        <f>=HYPERLINK("https://luminus.nus.edu.sg/modules/92c3b78e-7bfe-4aac-a0a7-b6588e1f85cd","LumiNUS course site")</f>
      </c>
      <c r="F1820" s="0" t="s">
        <v>3345</v>
      </c>
      <c r="G1820" s="0" t="s">
        <v>3346</v>
      </c>
      <c r="H1820" s="3">
        <v>29</v>
      </c>
    </row>
    <row r="1821">
      <c r="A1821" s="0" t="s">
        <v>3414</v>
      </c>
      <c r="B1821" s="0" t="s">
        <v>3415</v>
      </c>
      <c r="C1821" s="5">
        <f>=HYPERLINK("https://nusmods.com/modules/LCC5468#timetable","Timetable")</f>
      </c>
      <c r="D1821" s="5"/>
      <c r="E1821" s="5">
        <f>=HYPERLINK("https://luminus.nus.edu.sg/modules/89c143fc-cf71-49eb-8887-6308f82df0bc","LumiNUS course site")</f>
      </c>
      <c r="F1821" s="0" t="s">
        <v>3345</v>
      </c>
      <c r="G1821" s="0" t="s">
        <v>3346</v>
      </c>
      <c r="H1821" s="3">
        <v>29</v>
      </c>
    </row>
    <row r="1822">
      <c r="A1822" s="0" t="s">
        <v>3416</v>
      </c>
      <c r="B1822" s="0" t="s">
        <v>3393</v>
      </c>
      <c r="C1822" s="5">
        <f>=HYPERLINK("https://nusmods.com/modules/LCD5204AV#timetable","Timetable")</f>
      </c>
      <c r="D1822" s="5"/>
      <c r="E1822" s="5">
        <f>=HYPERLINK("https://luminus.nus.edu.sg/modules/c6a4a21c-d1ef-4d88-85f9-d8b777130bc1","LumiNUS course site")</f>
      </c>
      <c r="F1822" s="0" t="s">
        <v>3345</v>
      </c>
      <c r="G1822" s="0" t="s">
        <v>3346</v>
      </c>
      <c r="H1822" s="3">
        <v>7</v>
      </c>
    </row>
    <row r="1823">
      <c r="A1823" s="0" t="s">
        <v>3417</v>
      </c>
      <c r="B1823" s="0" t="s">
        <v>3344</v>
      </c>
      <c r="C1823" s="5">
        <f>=HYPERLINK("https://nusmods.com/modules/LCJ5003#timetable","Timetable")</f>
      </c>
      <c r="D1823" s="5">
        <f>=HYPERLINK("https://canvas.nus.edu.sg/courses/22589","Canvas course site")</f>
      </c>
      <c r="E1823" s="5"/>
      <c r="F1823" s="0" t="s">
        <v>3345</v>
      </c>
      <c r="G1823" s="0" t="s">
        <v>3346</v>
      </c>
      <c r="H1823" s="3">
        <v>33</v>
      </c>
    </row>
    <row r="1824">
      <c r="A1824" s="0" t="s">
        <v>3418</v>
      </c>
      <c r="B1824" s="0" t="s">
        <v>3348</v>
      </c>
      <c r="C1824" s="5">
        <f>=HYPERLINK("https://nusmods.com/modules/LCJ5004#timetable","Timetable")</f>
      </c>
      <c r="D1824" s="5"/>
      <c r="E1824" s="5">
        <f>=HYPERLINK("https://luminus.nus.edu.sg/modules/311ccdcb-67d7-4990-a609-7086a64d95ce","LumiNUS course site")</f>
      </c>
      <c r="F1824" s="0" t="s">
        <v>3345</v>
      </c>
      <c r="G1824" s="0" t="s">
        <v>3346</v>
      </c>
      <c r="H1824" s="3">
        <v>33</v>
      </c>
    </row>
    <row r="1825">
      <c r="A1825" s="0" t="s">
        <v>3419</v>
      </c>
      <c r="B1825" s="0" t="s">
        <v>3420</v>
      </c>
      <c r="C1825" s="5">
        <f>=HYPERLINK("https://nusmods.com/modules/LCJ5008#timetable","Timetable")</f>
      </c>
      <c r="D1825" s="5"/>
      <c r="E1825" s="5">
        <f>=HYPERLINK("https://luminus.nus.edu.sg/modules/5675eb3b-9d37-4ee4-b3bd-0e80c0554695","LumiNUS course site")</f>
      </c>
      <c r="F1825" s="0" t="s">
        <v>3345</v>
      </c>
      <c r="G1825" s="0" t="s">
        <v>3346</v>
      </c>
      <c r="H1825" s="3">
        <v>17</v>
      </c>
    </row>
    <row r="1826">
      <c r="A1826" s="0" t="s">
        <v>3421</v>
      </c>
      <c r="B1826" s="0" t="s">
        <v>3372</v>
      </c>
      <c r="C1826" s="5">
        <f>=HYPERLINK("https://nusmods.com/modules/LCJ5009#timetable","Timetable")</f>
      </c>
      <c r="D1826" s="5"/>
      <c r="E1826" s="5">
        <f>=HYPERLINK("https://luminus.nus.edu.sg/modules/42cec77f-6be0-4463-afa5-e376d3b2ca34","LumiNUS course site")</f>
      </c>
      <c r="F1826" s="0" t="s">
        <v>3345</v>
      </c>
      <c r="G1826" s="0" t="s">
        <v>3346</v>
      </c>
      <c r="H1826" s="3">
        <v>50</v>
      </c>
    </row>
    <row r="1827">
      <c r="A1827" s="0" t="s">
        <v>3422</v>
      </c>
      <c r="B1827" s="0" t="s">
        <v>3423</v>
      </c>
      <c r="C1827" s="5">
        <f>=HYPERLINK("https://nusmods.com/modules/LCJ5010#timetable","Timetable")</f>
      </c>
      <c r="D1827" s="5"/>
      <c r="E1827" s="5">
        <f>=HYPERLINK("https://luminus.nus.edu.sg/modules/5cb601bb-d16c-4f4e-bac7-8a021f2c98ac","LumiNUS course site")</f>
      </c>
      <c r="F1827" s="0" t="s">
        <v>3345</v>
      </c>
      <c r="G1827" s="0" t="s">
        <v>3346</v>
      </c>
      <c r="H1827" s="3">
        <v>6</v>
      </c>
    </row>
    <row r="1828">
      <c r="A1828" s="0" t="s">
        <v>3424</v>
      </c>
      <c r="B1828" s="0" t="s">
        <v>3425</v>
      </c>
      <c r="C1828" s="5">
        <f>=HYPERLINK("https://nusmods.com/modules/LCJ5011#timetable","Timetable")</f>
      </c>
      <c r="D1828" s="5"/>
      <c r="E1828" s="5">
        <f>=HYPERLINK("https://luminus.nus.edu.sg/modules/ac30c1a0-7616-477c-a4db-5c58f906a1aa","LumiNUS course site")</f>
      </c>
      <c r="F1828" s="0" t="s">
        <v>3345</v>
      </c>
      <c r="G1828" s="0" t="s">
        <v>3346</v>
      </c>
      <c r="H1828" s="3">
        <v>7</v>
      </c>
    </row>
    <row r="1829">
      <c r="A1829" s="0" t="s">
        <v>3426</v>
      </c>
      <c r="B1829" s="0" t="s">
        <v>3354</v>
      </c>
      <c r="C1829" s="5">
        <f>=HYPERLINK("https://nusmods.com/modules/LCJ5014#timetable","Timetable")</f>
      </c>
      <c r="D1829" s="5">
        <f>=HYPERLINK("https://canvas.nus.edu.sg/courses/22788","Canvas course site")</f>
      </c>
      <c r="E1829" s="5"/>
      <c r="F1829" s="0" t="s">
        <v>3345</v>
      </c>
      <c r="G1829" s="0" t="s">
        <v>3346</v>
      </c>
      <c r="H1829" s="3">
        <v>17</v>
      </c>
    </row>
    <row r="1830">
      <c r="A1830" s="0" t="s">
        <v>3427</v>
      </c>
      <c r="B1830" s="0" t="s">
        <v>3350</v>
      </c>
      <c r="C1830" s="5">
        <f>=HYPERLINK("https://nusmods.com/modules/LCJ5015#timetable","Timetable")</f>
      </c>
      <c r="D1830" s="5"/>
      <c r="E1830" s="5">
        <f>=HYPERLINK("https://luminus.nus.edu.sg/modules/48903f86-dc3a-4fd6-9744-a6ea894b08a9","LumiNUS course site")</f>
      </c>
      <c r="F1830" s="0" t="s">
        <v>3345</v>
      </c>
      <c r="G1830" s="0" t="s">
        <v>3346</v>
      </c>
      <c r="H1830" s="3">
        <v>5</v>
      </c>
    </row>
    <row r="1831">
      <c r="A1831" s="0" t="s">
        <v>3428</v>
      </c>
      <c r="B1831" s="0" t="s">
        <v>3350</v>
      </c>
      <c r="C1831" s="5">
        <f>=HYPERLINK("https://nusmods.com/modules/LCJ5016#timetable","Timetable")</f>
      </c>
      <c r="D1831" s="5"/>
      <c r="E1831" s="5">
        <f>=HYPERLINK("https://luminus.nus.edu.sg/modules/0d251112-eac2-4d49-91d8-4940fd50cf28","LumiNUS course site")</f>
      </c>
      <c r="F1831" s="0" t="s">
        <v>3345</v>
      </c>
      <c r="G1831" s="0" t="s">
        <v>3346</v>
      </c>
      <c r="H1831" s="3">
        <v>28</v>
      </c>
    </row>
    <row r="1832">
      <c r="A1832" s="0" t="s">
        <v>3429</v>
      </c>
      <c r="B1832" s="0" t="s">
        <v>3352</v>
      </c>
      <c r="C1832" s="5">
        <f>=HYPERLINK("https://nusmods.com/modules/LCJ5025#timetable","Timetable")</f>
      </c>
      <c r="D1832" s="5"/>
      <c r="E1832" s="5">
        <f>=HYPERLINK("https://luminus.nus.edu.sg/modules/9864038d-09cd-42a6-9db2-10614009c0c7","LumiNUS course site")</f>
      </c>
      <c r="F1832" s="0" t="s">
        <v>3345</v>
      </c>
      <c r="G1832" s="0" t="s">
        <v>3346</v>
      </c>
      <c r="H1832" s="3">
        <v>32</v>
      </c>
    </row>
    <row r="1833">
      <c r="A1833" s="0" t="s">
        <v>3430</v>
      </c>
      <c r="B1833" s="0" t="s">
        <v>820</v>
      </c>
      <c r="C1833" s="5">
        <f>=HYPERLINK("https://nusmods.com/modules/LI5001#timetable","Timetable")</f>
      </c>
      <c r="D1833" s="5"/>
      <c r="E1833" s="5">
        <f>=HYPERLINK("https://luminus.nus.edu.sg/modules/df85afa8-1752-42a3-a278-ee99d713ecc0","LumiNUS course site")</f>
      </c>
      <c r="F1833" s="0" t="s">
        <v>3431</v>
      </c>
      <c r="G1833" s="0" t="s">
        <v>3432</v>
      </c>
      <c r="H1833" s="3">
        <v>42</v>
      </c>
    </row>
    <row r="1834">
      <c r="A1834" s="0" t="s">
        <v>3433</v>
      </c>
      <c r="B1834" s="0" t="s">
        <v>3434</v>
      </c>
      <c r="C1834" s="5">
        <f>=HYPERLINK("https://nusmods.com/modules/LI5101#timetable","Timetable")</f>
      </c>
      <c r="D1834" s="5"/>
      <c r="E1834" s="5">
        <f>=HYPERLINK("https://luminus.nus.edu.sg/modules/9df653e6-d5c8-496c-bc03-fd71ee5f7804","LumiNUS course site")</f>
      </c>
      <c r="F1834" s="0" t="s">
        <v>3431</v>
      </c>
      <c r="G1834" s="0" t="s">
        <v>3432</v>
      </c>
      <c r="H1834" s="3">
        <v>60</v>
      </c>
    </row>
    <row r="1835">
      <c r="A1835" s="0" t="s">
        <v>3435</v>
      </c>
      <c r="B1835" s="0" t="s">
        <v>3436</v>
      </c>
      <c r="C1835" s="5">
        <f>=HYPERLINK("https://nusmods.com/modules/LI5201#timetable","Timetable")</f>
      </c>
      <c r="D1835" s="5"/>
      <c r="E1835" s="5">
        <f>=HYPERLINK("https://luminus.nus.edu.sg/modules/8b239bc8-8a8f-49ee-a63d-170bc5fe7b53","LumiNUS course site")</f>
      </c>
      <c r="F1835" s="0" t="s">
        <v>3431</v>
      </c>
      <c r="G1835" s="0" t="s">
        <v>3432</v>
      </c>
      <c r="H1835" s="3">
        <v>44</v>
      </c>
    </row>
    <row r="1836">
      <c r="A1836" s="0" t="s">
        <v>3437</v>
      </c>
      <c r="B1836" s="0" t="s">
        <v>3438</v>
      </c>
      <c r="C1836" s="5">
        <f>=HYPERLINK("https://nusmods.com/modules/LL4002V#timetable","Timetable")</f>
      </c>
      <c r="D1836" s="5"/>
      <c r="E1836" s="5">
        <f>=HYPERLINK("https://luminus.nus.edu.sg/modules/89da07be-fb07-484b-822b-b8f06b82186e","LumiNUS course site")</f>
      </c>
      <c r="F1836" s="0" t="s">
        <v>3345</v>
      </c>
      <c r="G1836" s="0" t="s">
        <v>3346</v>
      </c>
      <c r="H1836" s="3">
        <v>13</v>
      </c>
    </row>
    <row r="1837">
      <c r="A1837" s="0" t="s">
        <v>3439</v>
      </c>
      <c r="B1837" s="0" t="s">
        <v>3440</v>
      </c>
      <c r="C1837" s="5">
        <f>=HYPERLINK("https://nusmods.com/modules/LL4004V#timetable","Timetable")</f>
      </c>
      <c r="D1837" s="5"/>
      <c r="E1837" s="5">
        <f>=HYPERLINK("https://luminus.nus.edu.sg/modules/72c72adb-6c75-451c-8612-a27fb73f2135","LumiNUS course site")</f>
      </c>
      <c r="F1837" s="0" t="s">
        <v>3345</v>
      </c>
      <c r="G1837" s="0" t="s">
        <v>3346</v>
      </c>
      <c r="H1837" s="3">
        <v>44</v>
      </c>
    </row>
    <row r="1838">
      <c r="A1838" s="0" t="s">
        <v>3441</v>
      </c>
      <c r="B1838" s="0" t="s">
        <v>3442</v>
      </c>
      <c r="C1838" s="5">
        <f>=HYPERLINK("https://nusmods.com/modules/LL4006V#timetable","Timetable")</f>
      </c>
      <c r="D1838" s="5"/>
      <c r="E1838" s="5">
        <f>=HYPERLINK("https://luminus.nus.edu.sg/modules/ca31edb1-db22-4568-80d5-4843f77fde68","LumiNUS course site")</f>
      </c>
      <c r="F1838" s="0" t="s">
        <v>3345</v>
      </c>
      <c r="G1838" s="0" t="s">
        <v>3346</v>
      </c>
      <c r="H1838" s="3">
        <v>40</v>
      </c>
    </row>
    <row r="1839">
      <c r="A1839" s="0" t="s">
        <v>3443</v>
      </c>
      <c r="B1839" s="0" t="s">
        <v>3444</v>
      </c>
      <c r="C1839" s="5">
        <f>=HYPERLINK("https://nusmods.com/modules/LL4007#timetable","Timetable")</f>
      </c>
      <c r="D1839" s="5"/>
      <c r="E1839" s="5">
        <f>=HYPERLINK("https://luminus.nus.edu.sg/modules/e0c56f4f-14e4-4e59-b81a-cc80ebbd6131","LumiNUS course site")</f>
      </c>
      <c r="F1839" s="0" t="s">
        <v>3345</v>
      </c>
      <c r="G1839" s="0" t="s">
        <v>3346</v>
      </c>
      <c r="H1839" s="3">
        <v>7</v>
      </c>
    </row>
    <row r="1840">
      <c r="A1840" s="0" t="s">
        <v>3445</v>
      </c>
      <c r="B1840" s="0" t="s">
        <v>3393</v>
      </c>
      <c r="C1840" s="5">
        <f>=HYPERLINK("https://nusmods.com/modules/LL4008AV#timetable","Timetable")</f>
      </c>
      <c r="D1840" s="5"/>
      <c r="E1840" s="5">
        <f>=HYPERLINK("https://luminus.nus.edu.sg/modules/c6a4a21c-d1ef-4d88-85f9-d8b777130bc1","LumiNUS course site")</f>
      </c>
      <c r="F1840" s="0" t="s">
        <v>3345</v>
      </c>
      <c r="G1840" s="0" t="s">
        <v>3346</v>
      </c>
      <c r="H1840" s="3">
        <v>14</v>
      </c>
    </row>
    <row r="1841">
      <c r="A1841" s="0" t="s">
        <v>3446</v>
      </c>
      <c r="B1841" s="0" t="s">
        <v>3447</v>
      </c>
      <c r="C1841" s="5">
        <f>=HYPERLINK("https://nusmods.com/modules/LL4009V#timetable","Timetable")</f>
      </c>
      <c r="D1841" s="5"/>
      <c r="E1841" s="5">
        <f>=HYPERLINK("https://luminus.nus.edu.sg/modules/23d2a4a3-6749-4ea2-86ca-6d81b31bf858","LumiNUS course site")</f>
      </c>
      <c r="F1841" s="0" t="s">
        <v>3345</v>
      </c>
      <c r="G1841" s="0" t="s">
        <v>3346</v>
      </c>
      <c r="H1841" s="3">
        <v>26</v>
      </c>
    </row>
    <row r="1842">
      <c r="A1842" s="0" t="s">
        <v>3448</v>
      </c>
      <c r="B1842" s="0" t="s">
        <v>3449</v>
      </c>
      <c r="C1842" s="5">
        <f>=HYPERLINK("https://nusmods.com/modules/LL4019V#timetable","Timetable")</f>
      </c>
      <c r="D1842" s="5"/>
      <c r="E1842" s="5">
        <f>=HYPERLINK("https://luminus.nus.edu.sg/modules/3c837b12-59db-4b7c-b2ea-efa293b04848","LumiNUS course site")</f>
      </c>
      <c r="F1842" s="0" t="s">
        <v>3345</v>
      </c>
      <c r="G1842" s="0" t="s">
        <v>3346</v>
      </c>
      <c r="H1842" s="3">
        <v>45</v>
      </c>
    </row>
    <row r="1843">
      <c r="A1843" s="0" t="s">
        <v>3450</v>
      </c>
      <c r="B1843" s="0" t="s">
        <v>3397</v>
      </c>
      <c r="C1843" s="5">
        <f>=HYPERLINK("https://nusmods.com/modules/LL4029#timetable","Timetable")</f>
      </c>
      <c r="D1843" s="5"/>
      <c r="E1843" s="5">
        <f>=HYPERLINK("https://luminus.nus.edu.sg/modules/bedf3e11-84b2-4ecc-bc67-a80c477549fb","LumiNUS course site")</f>
      </c>
      <c r="F1843" s="0" t="s">
        <v>3345</v>
      </c>
      <c r="G1843" s="0" t="s">
        <v>3346</v>
      </c>
      <c r="H1843" s="3">
        <v>7</v>
      </c>
    </row>
    <row r="1844">
      <c r="A1844" s="0" t="s">
        <v>3451</v>
      </c>
      <c r="B1844" s="0" t="s">
        <v>3397</v>
      </c>
      <c r="C1844" s="5">
        <f>=HYPERLINK("https://nusmods.com/modules/LL4029V#timetable","Timetable")</f>
      </c>
      <c r="D1844" s="5"/>
      <c r="E1844" s="5">
        <f>=HYPERLINK("https://luminus.nus.edu.sg/modules/19e44226-5ecb-43af-99bd-2269699e28fd","LumiNUS course site")</f>
      </c>
      <c r="F1844" s="0" t="s">
        <v>3345</v>
      </c>
      <c r="G1844" s="0" t="s">
        <v>3346</v>
      </c>
      <c r="H1844" s="3">
        <v>25</v>
      </c>
    </row>
    <row r="1845">
      <c r="A1845" s="0" t="s">
        <v>3452</v>
      </c>
      <c r="B1845" s="0" t="s">
        <v>3453</v>
      </c>
      <c r="C1845" s="5">
        <f>=HYPERLINK("https://nusmods.com/modules/LL4031V#timetable","Timetable")</f>
      </c>
      <c r="D1845" s="5"/>
      <c r="E1845" s="5">
        <f>=HYPERLINK("https://luminus.nus.edu.sg/modules/d765a248-1c87-4268-aae4-9c07f3c86856","LumiNUS course site")</f>
      </c>
      <c r="F1845" s="0" t="s">
        <v>3345</v>
      </c>
      <c r="G1845" s="0" t="s">
        <v>3346</v>
      </c>
      <c r="H1845" s="3">
        <v>37</v>
      </c>
    </row>
    <row r="1846">
      <c r="A1846" s="0" t="s">
        <v>3454</v>
      </c>
      <c r="B1846" s="0" t="s">
        <v>3455</v>
      </c>
      <c r="C1846" s="5">
        <f>=HYPERLINK("https://nusmods.com/modules/LL4032#timetable","Timetable")</f>
      </c>
      <c r="D1846" s="5"/>
      <c r="E1846" s="5">
        <f>=HYPERLINK("https://luminus.nus.edu.sg/modules/83f0a696-c23a-44f7-b6fd-da5c77c8e107","LumiNUS course site")</f>
      </c>
      <c r="F1846" s="0" t="s">
        <v>3345</v>
      </c>
      <c r="G1846" s="0" t="s">
        <v>3346</v>
      </c>
      <c r="H1846" s="3">
        <v>5</v>
      </c>
    </row>
    <row r="1847">
      <c r="A1847" s="0" t="s">
        <v>3456</v>
      </c>
      <c r="B1847" s="0" t="s">
        <v>3457</v>
      </c>
      <c r="C1847" s="5">
        <f>=HYPERLINK("https://nusmods.com/modules/LL4033V#timetable","Timetable")</f>
      </c>
      <c r="D1847" s="5">
        <f>=HYPERLINK("https://canvas.nus.edu.sg/courses/22873","Canvas course site")</f>
      </c>
      <c r="E1847" s="5"/>
      <c r="F1847" s="0" t="s">
        <v>3345</v>
      </c>
      <c r="G1847" s="0" t="s">
        <v>3346</v>
      </c>
      <c r="H1847" s="3">
        <v>11</v>
      </c>
    </row>
    <row r="1848">
      <c r="A1848" s="0" t="s">
        <v>3458</v>
      </c>
      <c r="B1848" s="0" t="s">
        <v>3459</v>
      </c>
      <c r="C1848" s="5">
        <f>=HYPERLINK("https://nusmods.com/modules/LL4045V#timetable","Timetable")</f>
      </c>
      <c r="D1848" s="5"/>
      <c r="E1848" s="5">
        <f>=HYPERLINK("https://luminus.nus.edu.sg/modules/5f8c6847-ffa9-42f6-b521-bb6ecea0f656","LumiNUS course site")</f>
      </c>
      <c r="F1848" s="0" t="s">
        <v>3345</v>
      </c>
      <c r="G1848" s="0" t="s">
        <v>3346</v>
      </c>
      <c r="H1848" s="3">
        <v>19</v>
      </c>
    </row>
    <row r="1849">
      <c r="A1849" s="0" t="s">
        <v>3460</v>
      </c>
      <c r="B1849" s="0" t="s">
        <v>3389</v>
      </c>
      <c r="C1849" s="5">
        <f>=HYPERLINK("https://nusmods.com/modules/LL4050V#timetable","Timetable")</f>
      </c>
      <c r="D1849" s="5">
        <f>=HYPERLINK("https://canvas.nus.edu.sg/courses/22884","Canvas course site")</f>
      </c>
      <c r="E1849" s="5">
        <f>=HYPERLINK("https://luminus.nus.edu.sg/modules/7a699d15-7fad-4e4b-ab91-74babb430c03","LumiNUS course site")</f>
      </c>
      <c r="F1849" s="0" t="s">
        <v>3345</v>
      </c>
      <c r="G1849" s="0" t="s">
        <v>3346</v>
      </c>
      <c r="H1849" s="3">
        <v>16</v>
      </c>
    </row>
    <row r="1850">
      <c r="A1850" s="0" t="s">
        <v>3461</v>
      </c>
      <c r="B1850" s="0" t="s">
        <v>3462</v>
      </c>
      <c r="C1850" s="5">
        <f>=HYPERLINK("https://nusmods.com/modules/LL4056BV#timetable","Timetable")</f>
      </c>
      <c r="D1850" s="5"/>
      <c r="E1850" s="5">
        <f>=HYPERLINK("https://luminus.nus.edu.sg/modules/4d962d80-b7a6-4bb6-a10d-39a85f57209f","LumiNUS course site")</f>
      </c>
      <c r="F1850" s="0" t="s">
        <v>3345</v>
      </c>
      <c r="G1850" s="0" t="s">
        <v>3346</v>
      </c>
      <c r="H1850" s="3">
        <v>30</v>
      </c>
    </row>
    <row r="1851">
      <c r="A1851" s="0" t="s">
        <v>3463</v>
      </c>
      <c r="B1851" s="0" t="s">
        <v>3464</v>
      </c>
      <c r="C1851" s="5">
        <f>=HYPERLINK("https://nusmods.com/modules/LL4060B#timetable","Timetable")</f>
      </c>
      <c r="D1851" s="5"/>
      <c r="E1851" s="5">
        <f>=HYPERLINK("https://luminus.nus.edu.sg/modules/c6fdbe98-1cf4-4397-9589-f62b10f16840","LumiNUS course site")</f>
      </c>
      <c r="F1851" s="0" t="s">
        <v>3345</v>
      </c>
      <c r="G1851" s="0" t="s">
        <v>3346</v>
      </c>
      <c r="H1851" s="3">
        <v>14</v>
      </c>
    </row>
    <row r="1852">
      <c r="A1852" s="0" t="s">
        <v>3465</v>
      </c>
      <c r="B1852" s="0" t="s">
        <v>3466</v>
      </c>
      <c r="C1852" s="5">
        <f>=HYPERLINK("https://nusmods.com/modules/LL4063V#timetable","Timetable")</f>
      </c>
      <c r="D1852" s="5"/>
      <c r="E1852" s="5">
        <f>=HYPERLINK("https://luminus.nus.edu.sg/modules/02dcb538-7a3c-401d-be65-e6cbe33f3817","LumiNUS course site")</f>
      </c>
      <c r="F1852" s="0" t="s">
        <v>3345</v>
      </c>
      <c r="G1852" s="0" t="s">
        <v>3346</v>
      </c>
      <c r="H1852" s="3">
        <v>15</v>
      </c>
    </row>
    <row r="1853">
      <c r="A1853" s="0" t="s">
        <v>3467</v>
      </c>
      <c r="B1853" s="0" t="s">
        <v>3468</v>
      </c>
      <c r="C1853" s="5">
        <f>=HYPERLINK("https://nusmods.com/modules/LL4064V#timetable","Timetable")</f>
      </c>
      <c r="D1853" s="5">
        <f>=HYPERLINK("https://canvas.nus.edu.sg/courses/22905","Canvas course site")</f>
      </c>
      <c r="E1853" s="5"/>
      <c r="F1853" s="0" t="s">
        <v>3345</v>
      </c>
      <c r="G1853" s="0" t="s">
        <v>3346</v>
      </c>
      <c r="H1853" s="3">
        <v>24</v>
      </c>
    </row>
    <row r="1854">
      <c r="A1854" s="0" t="s">
        <v>3469</v>
      </c>
      <c r="B1854" s="0" t="s">
        <v>3391</v>
      </c>
      <c r="C1854" s="5">
        <f>=HYPERLINK("https://nusmods.com/modules/LL4070V#timetable","Timetable")</f>
      </c>
      <c r="D1854" s="5"/>
      <c r="E1854" s="5">
        <f>=HYPERLINK("https://luminus.nus.edu.sg/modules/4c83e850-ae3f-4c2c-ba18-8449e13740e6","LumiNUS course site")</f>
      </c>
      <c r="F1854" s="0" t="s">
        <v>3345</v>
      </c>
      <c r="G1854" s="0" t="s">
        <v>3346</v>
      </c>
      <c r="H1854" s="3">
        <v>37</v>
      </c>
    </row>
    <row r="1855">
      <c r="A1855" s="0" t="s">
        <v>3470</v>
      </c>
      <c r="B1855" s="0" t="s">
        <v>3471</v>
      </c>
      <c r="C1855" s="5">
        <f>=HYPERLINK("https://nusmods.com/modules/LL4073V#timetable","Timetable")</f>
      </c>
      <c r="D1855" s="5"/>
      <c r="E1855" s="5">
        <f>=HYPERLINK("https://luminus.nus.edu.sg/modules/50f2e36a-9b4d-4b74-b368-cb9c4ee6fc89","LumiNUS course site")</f>
      </c>
      <c r="F1855" s="0" t="s">
        <v>3345</v>
      </c>
      <c r="G1855" s="0" t="s">
        <v>3346</v>
      </c>
      <c r="H1855" s="3">
        <v>17</v>
      </c>
    </row>
    <row r="1856">
      <c r="A1856" s="0" t="s">
        <v>3472</v>
      </c>
      <c r="B1856" s="0" t="s">
        <v>3473</v>
      </c>
      <c r="C1856" s="5">
        <f>=HYPERLINK("https://nusmods.com/modules/LL4094AV#timetable","Timetable")</f>
      </c>
      <c r="D1856" s="5"/>
      <c r="E1856" s="5">
        <f>=HYPERLINK("https://luminus.nus.edu.sg/modules/14733db1-6d2d-47c6-9b36-971d194e0b65","LumiNUS course site")</f>
      </c>
      <c r="F1856" s="0" t="s">
        <v>3345</v>
      </c>
      <c r="G1856" s="0" t="s">
        <v>3346</v>
      </c>
      <c r="H1856" s="3">
        <v>3</v>
      </c>
    </row>
    <row r="1857">
      <c r="A1857" s="0" t="s">
        <v>3474</v>
      </c>
      <c r="B1857" s="0" t="s">
        <v>3475</v>
      </c>
      <c r="C1857" s="5">
        <f>=HYPERLINK("https://nusmods.com/modules/LL4094BV#timetable","Timetable")</f>
      </c>
      <c r="D1857" s="5"/>
      <c r="E1857" s="5"/>
      <c r="F1857" s="0" t="s">
        <v>3345</v>
      </c>
      <c r="G1857" s="0" t="s">
        <v>3346</v>
      </c>
      <c r="H1857" s="3">
        <v>9</v>
      </c>
    </row>
    <row r="1858">
      <c r="A1858" s="0" t="s">
        <v>3476</v>
      </c>
      <c r="B1858" s="0" t="s">
        <v>3477</v>
      </c>
      <c r="C1858" s="5">
        <f>=HYPERLINK("https://nusmods.com/modules/LL4094CV#timetable","Timetable")</f>
      </c>
      <c r="D1858" s="5"/>
      <c r="E1858" s="5">
        <f>=HYPERLINK("https://luminus.nus.edu.sg/modules/14733db1-6d2d-47c6-9b36-971d194e0b65","LumiNUS course site")</f>
      </c>
      <c r="F1858" s="0" t="s">
        <v>3345</v>
      </c>
      <c r="G1858" s="0" t="s">
        <v>3346</v>
      </c>
      <c r="H1858" s="3">
        <v>1</v>
      </c>
    </row>
    <row r="1859">
      <c r="A1859" s="0" t="s">
        <v>3478</v>
      </c>
      <c r="B1859" s="0" t="s">
        <v>3479</v>
      </c>
      <c r="C1859" s="5">
        <f>=HYPERLINK("https://nusmods.com/modules/LL4094DV#timetable","Timetable")</f>
      </c>
      <c r="D1859" s="5"/>
      <c r="E1859" s="5">
        <f>=HYPERLINK("https://luminus.nus.edu.sg/modules/14733db1-6d2d-47c6-9b36-971d194e0b65","LumiNUS course site")</f>
      </c>
      <c r="F1859" s="0" t="s">
        <v>3345</v>
      </c>
      <c r="G1859" s="0" t="s">
        <v>3346</v>
      </c>
      <c r="H1859" s="3">
        <v>4</v>
      </c>
    </row>
    <row r="1860">
      <c r="A1860" s="0" t="s">
        <v>3480</v>
      </c>
      <c r="B1860" s="0" t="s">
        <v>3481</v>
      </c>
      <c r="C1860" s="5">
        <f>=HYPERLINK("https://nusmods.com/modules/LL4094EV#timetable","Timetable")</f>
      </c>
      <c r="D1860" s="5"/>
      <c r="E1860" s="5">
        <f>=HYPERLINK("https://luminus.nus.edu.sg/modules/14733db1-6d2d-47c6-9b36-971d194e0b65","LumiNUS course site")</f>
      </c>
      <c r="F1860" s="0" t="s">
        <v>3345</v>
      </c>
      <c r="G1860" s="0" t="s">
        <v>3346</v>
      </c>
      <c r="H1860" s="3">
        <v>8</v>
      </c>
    </row>
    <row r="1861">
      <c r="A1861" s="0" t="s">
        <v>3482</v>
      </c>
      <c r="B1861" s="0" t="s">
        <v>3483</v>
      </c>
      <c r="C1861" s="5">
        <f>=HYPERLINK("https://nusmods.com/modules/LL4094FV#timetable","Timetable")</f>
      </c>
      <c r="D1861" s="5"/>
      <c r="E1861" s="5">
        <f>=HYPERLINK("https://luminus.nus.edu.sg/modules/14733db1-6d2d-47c6-9b36-971d194e0b65","LumiNUS course site")</f>
      </c>
      <c r="F1861" s="0" t="s">
        <v>3345</v>
      </c>
      <c r="G1861" s="0" t="s">
        <v>3346</v>
      </c>
      <c r="H1861" s="3">
        <v>5</v>
      </c>
    </row>
    <row r="1862">
      <c r="A1862" s="0" t="s">
        <v>3484</v>
      </c>
      <c r="B1862" s="0" t="s">
        <v>3485</v>
      </c>
      <c r="C1862" s="5">
        <f>=HYPERLINK("https://nusmods.com/modules/LL4094GV#timetable","Timetable")</f>
      </c>
      <c r="D1862" s="5"/>
      <c r="E1862" s="5">
        <f>=HYPERLINK("https://luminus.nus.edu.sg/modules/14733db1-6d2d-47c6-9b36-971d194e0b65","LumiNUS course site")</f>
      </c>
      <c r="F1862" s="0" t="s">
        <v>3345</v>
      </c>
      <c r="G1862" s="0" t="s">
        <v>3346</v>
      </c>
      <c r="H1862" s="3">
        <v>0</v>
      </c>
    </row>
    <row r="1863">
      <c r="A1863" s="0" t="s">
        <v>3486</v>
      </c>
      <c r="B1863" s="0" t="s">
        <v>3487</v>
      </c>
      <c r="C1863" s="5">
        <f>=HYPERLINK("https://nusmods.com/modules/LL4094V#timetable","Timetable")</f>
      </c>
      <c r="D1863" s="5"/>
      <c r="E1863" s="5">
        <f>=HYPERLINK("https://luminus.nus.edu.sg/modules/14733db1-6d2d-47c6-9b36-971d194e0b65","LumiNUS course site")</f>
      </c>
      <c r="F1863" s="0" t="s">
        <v>3345</v>
      </c>
      <c r="G1863" s="0" t="s">
        <v>3346</v>
      </c>
      <c r="H1863" s="3">
        <v>8</v>
      </c>
    </row>
    <row r="1864">
      <c r="A1864" s="0" t="s">
        <v>3488</v>
      </c>
      <c r="B1864" s="0" t="s">
        <v>3489</v>
      </c>
      <c r="C1864" s="5">
        <f>=HYPERLINK("https://nusmods.com/modules/LL4109V#timetable","Timetable")</f>
      </c>
      <c r="D1864" s="5"/>
      <c r="E1864" s="5">
        <f>=HYPERLINK("https://luminus.nus.edu.sg/modules/e2d96eca-4df4-4180-93bf-896fbe1479f1","LumiNUS course site")</f>
      </c>
      <c r="F1864" s="0" t="s">
        <v>3345</v>
      </c>
      <c r="G1864" s="0" t="s">
        <v>3346</v>
      </c>
      <c r="H1864" s="3">
        <v>25</v>
      </c>
    </row>
    <row r="1865">
      <c r="A1865" s="0" t="s">
        <v>3490</v>
      </c>
      <c r="B1865" s="0" t="s">
        <v>3491</v>
      </c>
      <c r="C1865" s="5">
        <f>=HYPERLINK("https://nusmods.com/modules/LL4164V#timetable","Timetable")</f>
      </c>
      <c r="D1865" s="5"/>
      <c r="E1865" s="5">
        <f>=HYPERLINK("https://luminus.nus.edu.sg/modules/0231f07d-e953-488a-a387-75bf74ac2639","LumiNUS course site")</f>
      </c>
      <c r="F1865" s="0" t="s">
        <v>3345</v>
      </c>
      <c r="G1865" s="0" t="s">
        <v>3346</v>
      </c>
      <c r="H1865" s="3">
        <v>35</v>
      </c>
    </row>
    <row r="1866">
      <c r="A1866" s="0" t="s">
        <v>3492</v>
      </c>
      <c r="B1866" s="0" t="s">
        <v>3493</v>
      </c>
      <c r="C1866" s="5">
        <f>=HYPERLINK("https://nusmods.com/modules/LL4187#timetable","Timetable")</f>
      </c>
      <c r="D1866" s="5"/>
      <c r="E1866" s="5">
        <f>=HYPERLINK("https://luminus.nus.edu.sg/modules/fe971b8b-13e1-45d8-b2a3-c950f87949ba","LumiNUS course site")</f>
      </c>
      <c r="F1866" s="0" t="s">
        <v>3345</v>
      </c>
      <c r="G1866" s="0" t="s">
        <v>3346</v>
      </c>
      <c r="H1866" s="3">
        <v>2</v>
      </c>
    </row>
    <row r="1867">
      <c r="A1867" s="0" t="s">
        <v>3494</v>
      </c>
      <c r="B1867" s="0" t="s">
        <v>3495</v>
      </c>
      <c r="C1867" s="5">
        <f>=HYPERLINK("https://nusmods.com/modules/LL4191#timetable","Timetable")</f>
      </c>
      <c r="D1867" s="5"/>
      <c r="E1867" s="5">
        <f>=HYPERLINK("https://luminus.nus.edu.sg/modules/1d6edf7a-85ab-4d5d-9696-908e7f8e58a4","LumiNUS course site")</f>
      </c>
      <c r="F1867" s="0" t="s">
        <v>3345</v>
      </c>
      <c r="G1867" s="0" t="s">
        <v>3346</v>
      </c>
      <c r="H1867" s="3">
        <v>34</v>
      </c>
    </row>
    <row r="1868">
      <c r="A1868" s="0" t="s">
        <v>3496</v>
      </c>
      <c r="B1868" s="0" t="s">
        <v>3497</v>
      </c>
      <c r="C1868" s="5">
        <f>=HYPERLINK("https://nusmods.com/modules/LL4203#timetable","Timetable")</f>
      </c>
      <c r="D1868" s="5"/>
      <c r="E1868" s="5"/>
      <c r="F1868" s="0" t="s">
        <v>3345</v>
      </c>
      <c r="G1868" s="0" t="s">
        <v>3346</v>
      </c>
      <c r="H1868" s="3">
        <v>0</v>
      </c>
    </row>
    <row r="1869">
      <c r="A1869" s="0" t="s">
        <v>3498</v>
      </c>
      <c r="B1869" s="0" t="s">
        <v>3497</v>
      </c>
      <c r="C1869" s="5">
        <f>=HYPERLINK("https://nusmods.com/modules/LL4203A#timetable","Timetable")</f>
      </c>
      <c r="D1869" s="5"/>
      <c r="E1869" s="5"/>
      <c r="F1869" s="0" t="s">
        <v>3345</v>
      </c>
      <c r="G1869" s="0" t="s">
        <v>3346</v>
      </c>
      <c r="H1869" s="3">
        <v>0</v>
      </c>
    </row>
    <row r="1870">
      <c r="A1870" s="0" t="s">
        <v>3499</v>
      </c>
      <c r="B1870" s="0" t="s">
        <v>3497</v>
      </c>
      <c r="C1870" s="5">
        <f>=HYPERLINK("https://nusmods.com/modules/LL4203B#timetable","Timetable")</f>
      </c>
      <c r="D1870" s="5"/>
      <c r="E1870" s="5"/>
      <c r="F1870" s="0" t="s">
        <v>3345</v>
      </c>
      <c r="G1870" s="0" t="s">
        <v>3346</v>
      </c>
      <c r="H1870" s="3">
        <v>0</v>
      </c>
    </row>
    <row r="1871">
      <c r="A1871" s="0" t="s">
        <v>3500</v>
      </c>
      <c r="B1871" s="0" t="s">
        <v>3497</v>
      </c>
      <c r="C1871" s="5">
        <f>=HYPERLINK("https://nusmods.com/modules/LL4203C#timetable","Timetable")</f>
      </c>
      <c r="D1871" s="5"/>
      <c r="E1871" s="5"/>
      <c r="F1871" s="0" t="s">
        <v>3345</v>
      </c>
      <c r="G1871" s="0" t="s">
        <v>3346</v>
      </c>
      <c r="H1871" s="3">
        <v>0</v>
      </c>
    </row>
    <row r="1872">
      <c r="A1872" s="0" t="s">
        <v>3501</v>
      </c>
      <c r="B1872" s="0" t="s">
        <v>3502</v>
      </c>
      <c r="C1872" s="5">
        <f>=HYPERLINK("https://nusmods.com/modules/LL4214#timetable","Timetable")</f>
      </c>
      <c r="D1872" s="5"/>
      <c r="E1872" s="5">
        <f>=HYPERLINK("https://luminus.nus.edu.sg/modules/6ef27d87-81d1-4ffd-88c6-9cce480b3775","LumiNUS course site")</f>
      </c>
      <c r="F1872" s="0" t="s">
        <v>3345</v>
      </c>
      <c r="G1872" s="0" t="s">
        <v>3346</v>
      </c>
      <c r="H1872" s="3">
        <v>8</v>
      </c>
    </row>
    <row r="1873">
      <c r="A1873" s="0" t="s">
        <v>3503</v>
      </c>
      <c r="B1873" s="0" t="s">
        <v>3504</v>
      </c>
      <c r="C1873" s="5">
        <f>=HYPERLINK("https://nusmods.com/modules/LL4219#timetable","Timetable")</f>
      </c>
      <c r="D1873" s="5"/>
      <c r="E1873" s="5">
        <f>=HYPERLINK("https://luminus.nus.edu.sg/modules/c9461efd-240f-4af7-b4b4-93d4feb8b622","LumiNUS course site")</f>
      </c>
      <c r="F1873" s="0" t="s">
        <v>3345</v>
      </c>
      <c r="G1873" s="0" t="s">
        <v>3346</v>
      </c>
      <c r="H1873" s="3">
        <v>26</v>
      </c>
    </row>
    <row r="1874">
      <c r="A1874" s="0" t="s">
        <v>3505</v>
      </c>
      <c r="B1874" s="0" t="s">
        <v>3506</v>
      </c>
      <c r="C1874" s="5">
        <f>=HYPERLINK("https://nusmods.com/modules/LL4237V#timetable","Timetable")</f>
      </c>
      <c r="D1874" s="5"/>
      <c r="E1874" s="5">
        <f>=HYPERLINK("https://luminus.nus.edu.sg/modules/cdb7c9f9-7177-4ef6-bb00-60ae7ba57c59","LumiNUS course site")</f>
      </c>
      <c r="F1874" s="0" t="s">
        <v>3345</v>
      </c>
      <c r="G1874" s="0" t="s">
        <v>3346</v>
      </c>
      <c r="H1874" s="3">
        <v>35</v>
      </c>
    </row>
    <row r="1875">
      <c r="A1875" s="0" t="s">
        <v>3507</v>
      </c>
      <c r="B1875" s="0" t="s">
        <v>3508</v>
      </c>
      <c r="C1875" s="5">
        <f>=HYPERLINK("https://nusmods.com/modules/LL4244V#timetable","Timetable")</f>
      </c>
      <c r="D1875" s="5"/>
      <c r="E1875" s="5"/>
      <c r="F1875" s="0" t="s">
        <v>3345</v>
      </c>
      <c r="G1875" s="0" t="s">
        <v>3346</v>
      </c>
      <c r="H1875" s="3">
        <v>18</v>
      </c>
    </row>
    <row r="1876">
      <c r="A1876" s="0" t="s">
        <v>3509</v>
      </c>
      <c r="B1876" s="0" t="s">
        <v>3510</v>
      </c>
      <c r="C1876" s="5">
        <f>=HYPERLINK("https://nusmods.com/modules/LL4251V#timetable","Timetable")</f>
      </c>
      <c r="D1876" s="5"/>
      <c r="E1876" s="5">
        <f>=HYPERLINK("https://luminus.nus.edu.sg/modules/f69d8dcf-29aa-40a6-9809-fcad20eaafe6","LumiNUS course site")</f>
      </c>
      <c r="F1876" s="0" t="s">
        <v>3345</v>
      </c>
      <c r="G1876" s="0" t="s">
        <v>3346</v>
      </c>
      <c r="H1876" s="3">
        <v>19</v>
      </c>
    </row>
    <row r="1877">
      <c r="A1877" s="0" t="s">
        <v>3511</v>
      </c>
      <c r="B1877" s="0" t="s">
        <v>3512</v>
      </c>
      <c r="C1877" s="5">
        <f>=HYPERLINK("https://nusmods.com/modules/LL4276#timetable","Timetable")</f>
      </c>
      <c r="D1877" s="5"/>
      <c r="E1877" s="5">
        <f>=HYPERLINK("https://luminus.nus.edu.sg/modules/6d5dbb3e-4179-4b31-8737-3fbea4737538","LumiNUS course site")</f>
      </c>
      <c r="F1877" s="0" t="s">
        <v>3345</v>
      </c>
      <c r="G1877" s="0" t="s">
        <v>3346</v>
      </c>
      <c r="H1877" s="3">
        <v>6</v>
      </c>
    </row>
    <row r="1878">
      <c r="A1878" s="0" t="s">
        <v>3513</v>
      </c>
      <c r="B1878" s="0" t="s">
        <v>3399</v>
      </c>
      <c r="C1878" s="5">
        <f>=HYPERLINK("https://nusmods.com/modules/LL4285V#timetable","Timetable")</f>
      </c>
      <c r="D1878" s="5"/>
      <c r="E1878" s="5">
        <f>=HYPERLINK("https://luminus.nus.edu.sg/modules/c1367b3f-f120-4f9c-a8ad-d6cb3415464b","LumiNUS course site")</f>
      </c>
      <c r="F1878" s="0" t="s">
        <v>3345</v>
      </c>
      <c r="G1878" s="0" t="s">
        <v>3346</v>
      </c>
      <c r="H1878" s="3">
        <v>6</v>
      </c>
    </row>
    <row r="1879">
      <c r="A1879" s="0" t="s">
        <v>3514</v>
      </c>
      <c r="B1879" s="0" t="s">
        <v>3515</v>
      </c>
      <c r="C1879" s="5">
        <f>=HYPERLINK("https://nusmods.com/modules/LL4287V#timetable","Timetable")</f>
      </c>
      <c r="D1879" s="5"/>
      <c r="E1879" s="5">
        <f>=HYPERLINK("https://luminus.nus.edu.sg/modules/ef03fb74-bef7-4d08-ad5a-5293062ed0b9","LumiNUS course site")</f>
      </c>
      <c r="F1879" s="0" t="s">
        <v>3345</v>
      </c>
      <c r="G1879" s="0" t="s">
        <v>3346</v>
      </c>
      <c r="H1879" s="3">
        <v>36</v>
      </c>
    </row>
    <row r="1880">
      <c r="A1880" s="0" t="s">
        <v>3516</v>
      </c>
      <c r="B1880" s="0" t="s">
        <v>3517</v>
      </c>
      <c r="C1880" s="5">
        <f>=HYPERLINK("https://nusmods.com/modules/LL4292V#timetable","Timetable")</f>
      </c>
      <c r="D1880" s="5"/>
      <c r="E1880" s="5">
        <f>=HYPERLINK("https://luminus.nus.edu.sg/modules/40ff165c-8f07-4d1f-a31c-b4359971eca8","LumiNUS course site")</f>
      </c>
      <c r="F1880" s="0" t="s">
        <v>3345</v>
      </c>
      <c r="G1880" s="0" t="s">
        <v>3346</v>
      </c>
      <c r="H1880" s="3">
        <v>12</v>
      </c>
    </row>
    <row r="1881">
      <c r="A1881" s="0" t="s">
        <v>3518</v>
      </c>
      <c r="B1881" s="0" t="s">
        <v>3519</v>
      </c>
      <c r="C1881" s="5">
        <f>=HYPERLINK("https://nusmods.com/modules/LL4320#timetable","Timetable")</f>
      </c>
      <c r="D1881" s="5"/>
      <c r="E1881" s="5">
        <f>=HYPERLINK("https://luminus.nus.edu.sg/modules/9db85b18-c86e-41e2-a3ba-ae49bf653d02","LumiNUS course site")</f>
      </c>
      <c r="F1881" s="0" t="s">
        <v>3345</v>
      </c>
      <c r="G1881" s="0" t="s">
        <v>3346</v>
      </c>
      <c r="H1881" s="3">
        <v>21</v>
      </c>
    </row>
    <row r="1882">
      <c r="A1882" s="0" t="s">
        <v>3520</v>
      </c>
      <c r="B1882" s="0" t="s">
        <v>3521</v>
      </c>
      <c r="C1882" s="5">
        <f>=HYPERLINK("https://nusmods.com/modules/LL4322V#timetable","Timetable")</f>
      </c>
      <c r="D1882" s="5"/>
      <c r="E1882" s="5">
        <f>=HYPERLINK("https://luminus.nus.edu.sg/modules/f9c9dde1-9e85-491b-9ebc-b1db64011c55","LumiNUS course site")</f>
      </c>
      <c r="F1882" s="0" t="s">
        <v>3345</v>
      </c>
      <c r="G1882" s="0" t="s">
        <v>3346</v>
      </c>
      <c r="H1882" s="3">
        <v>30</v>
      </c>
    </row>
    <row r="1883">
      <c r="A1883" s="0" t="s">
        <v>3522</v>
      </c>
      <c r="B1883" s="0" t="s">
        <v>3523</v>
      </c>
      <c r="C1883" s="5">
        <f>=HYPERLINK("https://nusmods.com/modules/LL4328#timetable","Timetable")</f>
      </c>
      <c r="D1883" s="5"/>
      <c r="E1883" s="5">
        <f>=HYPERLINK("https://luminus.nus.edu.sg/modules/e89a0b57-4218-479b-a303-ba21cba1d4e0","LumiNUS course site")</f>
      </c>
      <c r="F1883" s="0" t="s">
        <v>3345</v>
      </c>
      <c r="G1883" s="0" t="s">
        <v>3346</v>
      </c>
      <c r="H1883" s="3">
        <v>18</v>
      </c>
    </row>
    <row r="1884">
      <c r="A1884" s="0" t="s">
        <v>3524</v>
      </c>
      <c r="B1884" s="0" t="s">
        <v>3525</v>
      </c>
      <c r="C1884" s="5">
        <f>=HYPERLINK("https://nusmods.com/modules/LL4335V#timetable","Timetable")</f>
      </c>
      <c r="D1884" s="5"/>
      <c r="E1884" s="5">
        <f>=HYPERLINK("https://luminus.nus.edu.sg/modules/0c1fc728-9f7a-440d-8cb1-0cbfe3523aeb","LumiNUS course site")</f>
      </c>
      <c r="F1884" s="0" t="s">
        <v>3345</v>
      </c>
      <c r="G1884" s="0" t="s">
        <v>3346</v>
      </c>
      <c r="H1884" s="3">
        <v>15</v>
      </c>
    </row>
    <row r="1885">
      <c r="A1885" s="0" t="s">
        <v>3526</v>
      </c>
      <c r="B1885" s="0" t="s">
        <v>3527</v>
      </c>
      <c r="C1885" s="5">
        <f>=HYPERLINK("https://nusmods.com/modules/LL4342V#timetable","Timetable")</f>
      </c>
      <c r="D1885" s="5"/>
      <c r="E1885" s="5">
        <f>=HYPERLINK("https://luminus.nus.edu.sg/modules/66269360-d904-4c0d-852f-4c004ad06f59","LumiNUS course site")</f>
      </c>
      <c r="F1885" s="0" t="s">
        <v>3345</v>
      </c>
      <c r="G1885" s="0" t="s">
        <v>3346</v>
      </c>
      <c r="H1885" s="3">
        <v>61</v>
      </c>
    </row>
    <row r="1886">
      <c r="A1886" s="0" t="s">
        <v>3528</v>
      </c>
      <c r="B1886" s="0" t="s">
        <v>3529</v>
      </c>
      <c r="C1886" s="5">
        <f>=HYPERLINK("https://nusmods.com/modules/LL4359Z#timetable","Timetable")</f>
      </c>
      <c r="D1886" s="5"/>
      <c r="E1886" s="5">
        <f>=HYPERLINK("https://luminus.nus.edu.sg/modules/036553f9-f780-4f66-a349-35486ff9ad96","LumiNUS course site")</f>
      </c>
      <c r="F1886" s="0" t="s">
        <v>3345</v>
      </c>
      <c r="G1886" s="0" t="s">
        <v>3346</v>
      </c>
      <c r="H1886" s="3">
        <v>5</v>
      </c>
    </row>
    <row r="1887">
      <c r="A1887" s="0" t="s">
        <v>3530</v>
      </c>
      <c r="B1887" s="0" t="s">
        <v>3531</v>
      </c>
      <c r="C1887" s="5">
        <f>=HYPERLINK("https://nusmods.com/modules/LL4382V#timetable","Timetable")</f>
      </c>
      <c r="D1887" s="5"/>
      <c r="E1887" s="5">
        <f>=HYPERLINK("https://luminus.nus.edu.sg/modules/e58edecb-c8ec-454e-9dc0-85423c3dcc67","LumiNUS course site")</f>
      </c>
      <c r="F1887" s="0" t="s">
        <v>3345</v>
      </c>
      <c r="G1887" s="0" t="s">
        <v>3346</v>
      </c>
      <c r="H1887" s="3">
        <v>27</v>
      </c>
    </row>
    <row r="1888">
      <c r="A1888" s="0" t="s">
        <v>3532</v>
      </c>
      <c r="B1888" s="0" t="s">
        <v>3533</v>
      </c>
      <c r="C1888" s="5">
        <f>=HYPERLINK("https://nusmods.com/modules/LL4383Z#timetable","Timetable")</f>
      </c>
      <c r="D1888" s="5"/>
      <c r="E1888" s="5">
        <f>=HYPERLINK("https://luminus.nus.edu.sg/modules/aa55e152-c95c-48b1-bd25-40d4aa2dd269","LumiNUS course site")</f>
      </c>
      <c r="F1888" s="0" t="s">
        <v>3345</v>
      </c>
      <c r="G1888" s="0" t="s">
        <v>3346</v>
      </c>
      <c r="H1888" s="3">
        <v>0</v>
      </c>
    </row>
    <row r="1889">
      <c r="A1889" s="0" t="s">
        <v>3534</v>
      </c>
      <c r="B1889" s="0" t="s">
        <v>3535</v>
      </c>
      <c r="C1889" s="5">
        <f>=HYPERLINK("https://nusmods.com/modules/LL4396#timetable","Timetable")</f>
      </c>
      <c r="D1889" s="5"/>
      <c r="E1889" s="5">
        <f>=HYPERLINK("https://luminus.nus.edu.sg/modules/53df0425-5719-47c0-a285-0c6d67023077","LumiNUS course site")</f>
      </c>
      <c r="F1889" s="0" t="s">
        <v>3345</v>
      </c>
      <c r="G1889" s="0" t="s">
        <v>3346</v>
      </c>
      <c r="H1889" s="3">
        <v>8</v>
      </c>
    </row>
    <row r="1890">
      <c r="A1890" s="0" t="s">
        <v>3536</v>
      </c>
      <c r="B1890" s="0" t="s">
        <v>3535</v>
      </c>
      <c r="C1890" s="5">
        <f>=HYPERLINK("https://nusmods.com/modules/LL4397#timetable","Timetable")</f>
      </c>
      <c r="D1890" s="5"/>
      <c r="E1890" s="5"/>
      <c r="F1890" s="0" t="s">
        <v>3345</v>
      </c>
      <c r="G1890" s="0" t="s">
        <v>3346</v>
      </c>
      <c r="H1890" s="3">
        <v>0</v>
      </c>
    </row>
    <row r="1891">
      <c r="A1891" s="0" t="s">
        <v>3537</v>
      </c>
      <c r="B1891" s="0" t="s">
        <v>3535</v>
      </c>
      <c r="C1891" s="5">
        <f>=HYPERLINK("https://nusmods.com/modules/LL4398#timetable","Timetable")</f>
      </c>
      <c r="D1891" s="5"/>
      <c r="E1891" s="5"/>
      <c r="F1891" s="0" t="s">
        <v>3345</v>
      </c>
      <c r="G1891" s="0" t="s">
        <v>3346</v>
      </c>
      <c r="H1891" s="3">
        <v>0</v>
      </c>
    </row>
    <row r="1892">
      <c r="A1892" s="0" t="s">
        <v>3538</v>
      </c>
      <c r="B1892" s="0" t="s">
        <v>3405</v>
      </c>
      <c r="C1892" s="5">
        <f>=HYPERLINK("https://nusmods.com/modules/LL4405A#timetable","Timetable")</f>
      </c>
      <c r="D1892" s="5"/>
      <c r="E1892" s="5">
        <f>=HYPERLINK("https://luminus.nus.edu.sg/modules/98df3a4e-0653-4b1e-a29a-09714c52c7da","LumiNUS course site")</f>
      </c>
      <c r="F1892" s="0" t="s">
        <v>3345</v>
      </c>
      <c r="G1892" s="0" t="s">
        <v>3346</v>
      </c>
      <c r="H1892" s="3">
        <v>38</v>
      </c>
    </row>
    <row r="1893">
      <c r="A1893" s="0" t="s">
        <v>3539</v>
      </c>
      <c r="B1893" s="0" t="s">
        <v>3540</v>
      </c>
      <c r="C1893" s="5">
        <f>=HYPERLINK("https://nusmods.com/modules/LL4407#timetable","Timetable")</f>
      </c>
      <c r="D1893" s="5"/>
      <c r="E1893" s="5">
        <f>=HYPERLINK("https://luminus.nus.edu.sg/modules/712d31c9-b2a2-4d4b-a67c-aa2b38044977","LumiNUS course site")</f>
      </c>
      <c r="F1893" s="0" t="s">
        <v>3345</v>
      </c>
      <c r="G1893" s="0" t="s">
        <v>3346</v>
      </c>
      <c r="H1893" s="3">
        <v>48</v>
      </c>
    </row>
    <row r="1894">
      <c r="A1894" s="0" t="s">
        <v>3541</v>
      </c>
      <c r="B1894" s="0" t="s">
        <v>3542</v>
      </c>
      <c r="C1894" s="5">
        <f>=HYPERLINK("https://nusmods.com/modules/LL4433V#timetable","Timetable")</f>
      </c>
      <c r="D1894" s="5"/>
      <c r="E1894" s="5">
        <f>=HYPERLINK("https://luminus.nus.edu.sg/modules/897baf17-5b09-47a7-9202-ef66c2a775fe","LumiNUS course site")</f>
      </c>
      <c r="F1894" s="0" t="s">
        <v>3345</v>
      </c>
      <c r="G1894" s="0" t="s">
        <v>3346</v>
      </c>
      <c r="H1894" s="3">
        <v>31</v>
      </c>
    </row>
    <row r="1895">
      <c r="A1895" s="0" t="s">
        <v>3543</v>
      </c>
      <c r="B1895" s="0" t="s">
        <v>3544</v>
      </c>
      <c r="C1895" s="5">
        <f>=HYPERLINK("https://nusmods.com/modules/LL4436V#timetable","Timetable")</f>
      </c>
      <c r="D1895" s="5"/>
      <c r="E1895" s="5">
        <f>=HYPERLINK("https://luminus.nus.edu.sg/modules/16332bb2-3a04-4642-a55f-4d95165cd40e","LumiNUS course site")</f>
      </c>
      <c r="F1895" s="0" t="s">
        <v>3345</v>
      </c>
      <c r="G1895" s="0" t="s">
        <v>3346</v>
      </c>
      <c r="H1895" s="3">
        <v>44</v>
      </c>
    </row>
    <row r="1896">
      <c r="A1896" s="0" t="s">
        <v>3545</v>
      </c>
      <c r="B1896" s="0" t="s">
        <v>3546</v>
      </c>
      <c r="C1896" s="5">
        <f>=HYPERLINK("https://nusmods.com/modules/LL4454V#timetable","Timetable")</f>
      </c>
      <c r="D1896" s="5"/>
      <c r="E1896" s="5">
        <f>=HYPERLINK("https://luminus.nus.edu.sg/modules/2fc1f70a-57e6-4caf-b678-fc1b1253d8c4","LumiNUS course site")</f>
      </c>
      <c r="F1896" s="0" t="s">
        <v>3345</v>
      </c>
      <c r="G1896" s="0" t="s">
        <v>3346</v>
      </c>
      <c r="H1896" s="3">
        <v>38</v>
      </c>
    </row>
    <row r="1897">
      <c r="A1897" s="0" t="s">
        <v>3547</v>
      </c>
      <c r="B1897" s="0" t="s">
        <v>3548</v>
      </c>
      <c r="C1897" s="5">
        <f>=HYPERLINK("https://nusmods.com/modules/LL4463V#timetable","Timetable")</f>
      </c>
      <c r="D1897" s="5"/>
      <c r="E1897" s="5"/>
      <c r="F1897" s="0" t="s">
        <v>3345</v>
      </c>
      <c r="G1897" s="0" t="s">
        <v>3346</v>
      </c>
      <c r="H1897" s="3">
        <v>3</v>
      </c>
    </row>
    <row r="1898">
      <c r="A1898" s="0" t="s">
        <v>3549</v>
      </c>
      <c r="B1898" s="0" t="s">
        <v>3550</v>
      </c>
      <c r="C1898" s="5">
        <f>=HYPERLINK("https://nusmods.com/modules/LL4464#timetable","Timetable")</f>
      </c>
      <c r="D1898" s="5"/>
      <c r="E1898" s="5">
        <f>=HYPERLINK("https://luminus.nus.edu.sg/modules/57d19b71-5326-4fff-8f2f-2923cc344b2d","LumiNUS course site")</f>
      </c>
      <c r="F1898" s="0" t="s">
        <v>3345</v>
      </c>
      <c r="G1898" s="0" t="s">
        <v>3346</v>
      </c>
      <c r="H1898" s="3">
        <v>1</v>
      </c>
    </row>
    <row r="1899">
      <c r="A1899" s="0" t="s">
        <v>3551</v>
      </c>
      <c r="B1899" s="0" t="s">
        <v>3552</v>
      </c>
      <c r="C1899" s="5">
        <f>=HYPERLINK("https://nusmods.com/modules/LL4465#timetable","Timetable")</f>
      </c>
      <c r="D1899" s="5"/>
      <c r="E1899" s="5">
        <f>=HYPERLINK("https://luminus.nus.edu.sg/modules/fa25d1f6-9e45-438b-811a-cbbb13a2d3c3","LumiNUS course site")</f>
      </c>
      <c r="F1899" s="0" t="s">
        <v>3345</v>
      </c>
      <c r="G1899" s="0" t="s">
        <v>3346</v>
      </c>
      <c r="H1899" s="3">
        <v>8</v>
      </c>
    </row>
    <row r="1900">
      <c r="A1900" s="0" t="s">
        <v>3553</v>
      </c>
      <c r="B1900" s="0" t="s">
        <v>3554</v>
      </c>
      <c r="C1900" s="5">
        <f>=HYPERLINK("https://nusmods.com/modules/LL4471#timetable","Timetable")</f>
      </c>
      <c r="D1900" s="5"/>
      <c r="E1900" s="5">
        <f>=HYPERLINK("https://luminus.nus.edu.sg/modules/a5470b27-cacf-4762-a2ed-893d839691de","LumiNUS course site")</f>
      </c>
      <c r="F1900" s="0" t="s">
        <v>3345</v>
      </c>
      <c r="G1900" s="0" t="s">
        <v>3346</v>
      </c>
      <c r="H1900" s="3">
        <v>5</v>
      </c>
    </row>
    <row r="1901">
      <c r="A1901" s="0" t="s">
        <v>3555</v>
      </c>
      <c r="B1901" s="0" t="s">
        <v>3556</v>
      </c>
      <c r="C1901" s="5">
        <f>=HYPERLINK("https://nusmods.com/modules/LL4472#timetable","Timetable")</f>
      </c>
      <c r="D1901" s="5"/>
      <c r="E1901" s="5">
        <f>=HYPERLINK("https://luminus.nus.edu.sg/modules/3eb89951-a0ff-487b-914f-53ddbbe0d0b7","LumiNUS course site")</f>
      </c>
      <c r="F1901" s="0" t="s">
        <v>3345</v>
      </c>
      <c r="G1901" s="0" t="s">
        <v>3346</v>
      </c>
      <c r="H1901" s="3">
        <v>12</v>
      </c>
    </row>
    <row r="1902">
      <c r="A1902" s="0" t="s">
        <v>3557</v>
      </c>
      <c r="B1902" s="0" t="s">
        <v>3558</v>
      </c>
      <c r="C1902" s="5">
        <f>=HYPERLINK("https://nusmods.com/modules/LL4473#timetable","Timetable")</f>
      </c>
      <c r="D1902" s="5"/>
      <c r="E1902" s="5">
        <f>=HYPERLINK("https://luminus.nus.edu.sg/modules/24d35521-af8b-4cc1-bfeb-80ebd95e1038","LumiNUS course site")</f>
      </c>
      <c r="F1902" s="0" t="s">
        <v>3345</v>
      </c>
      <c r="G1902" s="0" t="s">
        <v>3346</v>
      </c>
      <c r="H1902" s="3">
        <v>10</v>
      </c>
    </row>
    <row r="1903">
      <c r="A1903" s="0" t="s">
        <v>3559</v>
      </c>
      <c r="B1903" s="0" t="s">
        <v>3560</v>
      </c>
      <c r="C1903" s="5">
        <f>=HYPERLINK("https://nusmods.com/modules/LL4474#timetable","Timetable")</f>
      </c>
      <c r="D1903" s="5"/>
      <c r="E1903" s="5">
        <f>=HYPERLINK("https://luminus.nus.edu.sg/modules/46ce588c-f723-4fb7-a4e7-ac0a95b5ed1c","LumiNUS course site")</f>
      </c>
      <c r="F1903" s="0" t="s">
        <v>3345</v>
      </c>
      <c r="G1903" s="0" t="s">
        <v>3346</v>
      </c>
      <c r="H1903" s="3">
        <v>20</v>
      </c>
    </row>
    <row r="1904">
      <c r="A1904" s="0" t="s">
        <v>3561</v>
      </c>
      <c r="B1904" s="0" t="s">
        <v>3562</v>
      </c>
      <c r="C1904" s="5">
        <f>=HYPERLINK("https://nusmods.com/modules/LL4475V#timetable","Timetable")</f>
      </c>
      <c r="D1904" s="5"/>
      <c r="E1904" s="5">
        <f>=HYPERLINK("https://luminus.nus.edu.sg/modules/c2854abd-1f83-49f7-a56f-85593f1b24d9","LumiNUS course site")</f>
      </c>
      <c r="F1904" s="0" t="s">
        <v>3345</v>
      </c>
      <c r="G1904" s="0" t="s">
        <v>3346</v>
      </c>
      <c r="H1904" s="3">
        <v>25</v>
      </c>
    </row>
    <row r="1905">
      <c r="A1905" s="0" t="s">
        <v>3563</v>
      </c>
      <c r="B1905" s="0" t="s">
        <v>3438</v>
      </c>
      <c r="C1905" s="5">
        <f>=HYPERLINK("https://nusmods.com/modules/LL5002V#timetable","Timetable")</f>
      </c>
      <c r="D1905" s="5"/>
      <c r="E1905" s="5">
        <f>=HYPERLINK("https://luminus.nus.edu.sg/modules/89da07be-fb07-484b-822b-b8f06b82186e","LumiNUS course site")</f>
      </c>
      <c r="F1905" s="0" t="s">
        <v>3345</v>
      </c>
      <c r="G1905" s="0" t="s">
        <v>3346</v>
      </c>
      <c r="H1905" s="3">
        <v>15</v>
      </c>
    </row>
    <row r="1906">
      <c r="A1906" s="0" t="s">
        <v>3564</v>
      </c>
      <c r="B1906" s="0" t="s">
        <v>3440</v>
      </c>
      <c r="C1906" s="5">
        <f>=HYPERLINK("https://nusmods.com/modules/LL5004V#timetable","Timetable")</f>
      </c>
      <c r="D1906" s="5"/>
      <c r="E1906" s="5">
        <f>=HYPERLINK("https://luminus.nus.edu.sg/modules/72c72adb-6c75-451c-8612-a27fb73f2135","LumiNUS course site")</f>
      </c>
      <c r="F1906" s="0" t="s">
        <v>3345</v>
      </c>
      <c r="G1906" s="0" t="s">
        <v>3346</v>
      </c>
      <c r="H1906" s="3">
        <v>4</v>
      </c>
    </row>
    <row r="1907">
      <c r="A1907" s="0" t="s">
        <v>3565</v>
      </c>
      <c r="B1907" s="0" t="s">
        <v>3442</v>
      </c>
      <c r="C1907" s="5">
        <f>=HYPERLINK("https://nusmods.com/modules/LL5006V#timetable","Timetable")</f>
      </c>
      <c r="D1907" s="5"/>
      <c r="E1907" s="5">
        <f>=HYPERLINK("https://luminus.nus.edu.sg/modules/ca31edb1-db22-4568-80d5-4843f77fde68","LumiNUS course site")</f>
      </c>
      <c r="F1907" s="0" t="s">
        <v>3345</v>
      </c>
      <c r="G1907" s="0" t="s">
        <v>3346</v>
      </c>
      <c r="H1907" s="3">
        <v>9</v>
      </c>
    </row>
    <row r="1908">
      <c r="A1908" s="0" t="s">
        <v>3566</v>
      </c>
      <c r="B1908" s="0" t="s">
        <v>3567</v>
      </c>
      <c r="C1908" s="5">
        <f>=HYPERLINK("https://nusmods.com/modules/LL5007#timetable","Timetable")</f>
      </c>
      <c r="D1908" s="5"/>
      <c r="E1908" s="5">
        <f>=HYPERLINK("https://luminus.nus.edu.sg/modules/e0c56f4f-14e4-4e59-b81a-cc80ebbd6131","LumiNUS course site")</f>
      </c>
      <c r="F1908" s="0" t="s">
        <v>3345</v>
      </c>
      <c r="G1908" s="0" t="s">
        <v>3346</v>
      </c>
      <c r="H1908" s="3">
        <v>10</v>
      </c>
    </row>
    <row r="1909">
      <c r="A1909" s="0" t="s">
        <v>3568</v>
      </c>
      <c r="B1909" s="0" t="s">
        <v>3393</v>
      </c>
      <c r="C1909" s="5">
        <f>=HYPERLINK("https://nusmods.com/modules/LL5008AV#timetable","Timetable")</f>
      </c>
      <c r="D1909" s="5"/>
      <c r="E1909" s="5">
        <f>=HYPERLINK("https://luminus.nus.edu.sg/modules/c6a4a21c-d1ef-4d88-85f9-d8b777130bc1","LumiNUS course site")</f>
      </c>
      <c r="F1909" s="0" t="s">
        <v>3345</v>
      </c>
      <c r="G1909" s="0" t="s">
        <v>3346</v>
      </c>
      <c r="H1909" s="3">
        <v>1</v>
      </c>
    </row>
    <row r="1910">
      <c r="A1910" s="0" t="s">
        <v>3569</v>
      </c>
      <c r="B1910" s="0" t="s">
        <v>3570</v>
      </c>
      <c r="C1910" s="5">
        <f>=HYPERLINK("https://nusmods.com/modules/LL5009GRSI#timetable","Timetable")</f>
      </c>
      <c r="D1910" s="5"/>
      <c r="E1910" s="5">
        <f>=HYPERLINK("https://luminus.nus.edu.sg/modules/f7ccac22-7240-4894-a3a2-e0671b646c6a","LumiNUS course site")</f>
      </c>
      <c r="F1910" s="0" t="s">
        <v>3345</v>
      </c>
      <c r="G1910" s="0" t="s">
        <v>3346</v>
      </c>
      <c r="H1910" s="3">
        <v>1</v>
      </c>
    </row>
    <row r="1911">
      <c r="A1911" s="0" t="s">
        <v>3571</v>
      </c>
      <c r="B1911" s="0" t="s">
        <v>3447</v>
      </c>
      <c r="C1911" s="5">
        <f>=HYPERLINK("https://nusmods.com/modules/LL5009V#timetable","Timetable")</f>
      </c>
      <c r="D1911" s="5"/>
      <c r="E1911" s="5">
        <f>=HYPERLINK("https://luminus.nus.edu.sg/modules/23d2a4a3-6749-4ea2-86ca-6d81b31bf858","LumiNUS course site")</f>
      </c>
      <c r="F1911" s="0" t="s">
        <v>3345</v>
      </c>
      <c r="G1911" s="0" t="s">
        <v>3346</v>
      </c>
      <c r="H1911" s="3">
        <v>2</v>
      </c>
    </row>
    <row r="1912">
      <c r="A1912" s="0" t="s">
        <v>3572</v>
      </c>
      <c r="B1912" s="0" t="s">
        <v>3449</v>
      </c>
      <c r="C1912" s="5">
        <f>=HYPERLINK("https://nusmods.com/modules/LL5019V#timetable","Timetable")</f>
      </c>
      <c r="D1912" s="5"/>
      <c r="E1912" s="5">
        <f>=HYPERLINK("https://luminus.nus.edu.sg/modules/3c837b12-59db-4b7c-b2ea-efa293b04848","LumiNUS course site")</f>
      </c>
      <c r="F1912" s="0" t="s">
        <v>3345</v>
      </c>
      <c r="G1912" s="0" t="s">
        <v>3346</v>
      </c>
      <c r="H1912" s="3">
        <v>5</v>
      </c>
    </row>
    <row r="1913">
      <c r="A1913" s="0" t="s">
        <v>3573</v>
      </c>
      <c r="B1913" s="0" t="s">
        <v>3397</v>
      </c>
      <c r="C1913" s="5">
        <f>=HYPERLINK("https://nusmods.com/modules/LL5029V#timetable","Timetable")</f>
      </c>
      <c r="D1913" s="5"/>
      <c r="E1913" s="5">
        <f>=HYPERLINK("https://luminus.nus.edu.sg/modules/19e44226-5ecb-43af-99bd-2269699e28fd","LumiNUS course site")</f>
      </c>
      <c r="F1913" s="0" t="s">
        <v>3345</v>
      </c>
      <c r="G1913" s="0" t="s">
        <v>3346</v>
      </c>
      <c r="H1913" s="3">
        <v>16</v>
      </c>
    </row>
    <row r="1914">
      <c r="A1914" s="0" t="s">
        <v>3574</v>
      </c>
      <c r="B1914" s="0" t="s">
        <v>3453</v>
      </c>
      <c r="C1914" s="5">
        <f>=HYPERLINK("https://nusmods.com/modules/LL5031V#timetable","Timetable")</f>
      </c>
      <c r="D1914" s="5"/>
      <c r="E1914" s="5">
        <f>=HYPERLINK("https://luminus.nus.edu.sg/modules/d765a248-1c87-4268-aae4-9c07f3c86856","LumiNUS course site")</f>
      </c>
      <c r="F1914" s="0" t="s">
        <v>3345</v>
      </c>
      <c r="G1914" s="0" t="s">
        <v>3346</v>
      </c>
      <c r="H1914" s="3">
        <v>6</v>
      </c>
    </row>
    <row r="1915">
      <c r="A1915" s="0" t="s">
        <v>3575</v>
      </c>
      <c r="B1915" s="0" t="s">
        <v>3576</v>
      </c>
      <c r="C1915" s="5">
        <f>=HYPERLINK("https://nusmods.com/modules/LL5032#timetable","Timetable")</f>
      </c>
      <c r="D1915" s="5"/>
      <c r="E1915" s="5">
        <f>=HYPERLINK("https://luminus.nus.edu.sg/modules/83f0a696-c23a-44f7-b6fd-da5c77c8e107","LumiNUS course site")</f>
      </c>
      <c r="F1915" s="0" t="s">
        <v>3345</v>
      </c>
      <c r="G1915" s="0" t="s">
        <v>3346</v>
      </c>
      <c r="H1915" s="3">
        <v>45</v>
      </c>
    </row>
    <row r="1916">
      <c r="A1916" s="0" t="s">
        <v>3577</v>
      </c>
      <c r="B1916" s="0" t="s">
        <v>3457</v>
      </c>
      <c r="C1916" s="5">
        <f>=HYPERLINK("https://nusmods.com/modules/LL5033V#timetable","Timetable")</f>
      </c>
      <c r="D1916" s="5">
        <f>=HYPERLINK("https://canvas.nus.edu.sg/courses/22873","Canvas course site")</f>
      </c>
      <c r="E1916" s="5"/>
      <c r="F1916" s="0" t="s">
        <v>3345</v>
      </c>
      <c r="G1916" s="0" t="s">
        <v>3346</v>
      </c>
      <c r="H1916" s="3">
        <v>0</v>
      </c>
    </row>
    <row r="1917">
      <c r="A1917" s="0" t="s">
        <v>3578</v>
      </c>
      <c r="B1917" s="0" t="s">
        <v>3459</v>
      </c>
      <c r="C1917" s="5">
        <f>=HYPERLINK("https://nusmods.com/modules/LL5045V#timetable","Timetable")</f>
      </c>
      <c r="D1917" s="5"/>
      <c r="E1917" s="5">
        <f>=HYPERLINK("https://luminus.nus.edu.sg/modules/5f8c6847-ffa9-42f6-b521-bb6ecea0f656","LumiNUS course site")</f>
      </c>
      <c r="F1917" s="0" t="s">
        <v>3345</v>
      </c>
      <c r="G1917" s="0" t="s">
        <v>3346</v>
      </c>
      <c r="H1917" s="3">
        <v>5</v>
      </c>
    </row>
    <row r="1918">
      <c r="A1918" s="0" t="s">
        <v>3579</v>
      </c>
      <c r="B1918" s="0" t="s">
        <v>3389</v>
      </c>
      <c r="C1918" s="5">
        <f>=HYPERLINK("https://nusmods.com/modules/LL5050V#timetable","Timetable")</f>
      </c>
      <c r="D1918" s="5">
        <f>=HYPERLINK("https://canvas.nus.edu.sg/courses/22884","Canvas course site")</f>
      </c>
      <c r="E1918" s="5">
        <f>=HYPERLINK("https://luminus.nus.edu.sg/modules/7a699d15-7fad-4e4b-ab91-74babb430c03","LumiNUS course site")</f>
      </c>
      <c r="F1918" s="0" t="s">
        <v>3345</v>
      </c>
      <c r="G1918" s="0" t="s">
        <v>3346</v>
      </c>
      <c r="H1918" s="3">
        <v>2</v>
      </c>
    </row>
    <row r="1919">
      <c r="A1919" s="0" t="s">
        <v>3580</v>
      </c>
      <c r="B1919" s="0" t="s">
        <v>3462</v>
      </c>
      <c r="C1919" s="5">
        <f>=HYPERLINK("https://nusmods.com/modules/LL5056BV#timetable","Timetable")</f>
      </c>
      <c r="D1919" s="5"/>
      <c r="E1919" s="5">
        <f>=HYPERLINK("https://luminus.nus.edu.sg/modules/4d962d80-b7a6-4bb6-a10d-39a85f57209f","LumiNUS course site")</f>
      </c>
      <c r="F1919" s="0" t="s">
        <v>3345</v>
      </c>
      <c r="G1919" s="0" t="s">
        <v>3346</v>
      </c>
      <c r="H1919" s="3">
        <v>14</v>
      </c>
    </row>
    <row r="1920">
      <c r="A1920" s="0" t="s">
        <v>3581</v>
      </c>
      <c r="B1920" s="0" t="s">
        <v>3464</v>
      </c>
      <c r="C1920" s="5">
        <f>=HYPERLINK("https://nusmods.com/modules/LL5060B#timetable","Timetable")</f>
      </c>
      <c r="D1920" s="5"/>
      <c r="E1920" s="5">
        <f>=HYPERLINK("https://luminus.nus.edu.sg/modules/c6fdbe98-1cf4-4397-9589-f62b10f16840","LumiNUS course site")</f>
      </c>
      <c r="F1920" s="0" t="s">
        <v>3345</v>
      </c>
      <c r="G1920" s="0" t="s">
        <v>3346</v>
      </c>
      <c r="H1920" s="3">
        <v>10</v>
      </c>
    </row>
    <row r="1921">
      <c r="A1921" s="0" t="s">
        <v>3582</v>
      </c>
      <c r="B1921" s="0" t="s">
        <v>3466</v>
      </c>
      <c r="C1921" s="5">
        <f>=HYPERLINK("https://nusmods.com/modules/LL5063V#timetable","Timetable")</f>
      </c>
      <c r="D1921" s="5"/>
      <c r="E1921" s="5">
        <f>=HYPERLINK("https://luminus.nus.edu.sg/modules/02dcb538-7a3c-401d-be65-e6cbe33f3817","LumiNUS course site")</f>
      </c>
      <c r="F1921" s="0" t="s">
        <v>3345</v>
      </c>
      <c r="G1921" s="0" t="s">
        <v>3346</v>
      </c>
      <c r="H1921" s="3">
        <v>11</v>
      </c>
    </row>
    <row r="1922">
      <c r="A1922" s="0" t="s">
        <v>3583</v>
      </c>
      <c r="B1922" s="0" t="s">
        <v>3468</v>
      </c>
      <c r="C1922" s="5">
        <f>=HYPERLINK("https://nusmods.com/modules/LL5064V#timetable","Timetable")</f>
      </c>
      <c r="D1922" s="5">
        <f>=HYPERLINK("https://canvas.nus.edu.sg/courses/22905","Canvas course site")</f>
      </c>
      <c r="E1922" s="5"/>
      <c r="F1922" s="0" t="s">
        <v>3345</v>
      </c>
      <c r="G1922" s="0" t="s">
        <v>3346</v>
      </c>
      <c r="H1922" s="3">
        <v>7</v>
      </c>
    </row>
    <row r="1923">
      <c r="A1923" s="0" t="s">
        <v>3584</v>
      </c>
      <c r="B1923" s="0" t="s">
        <v>3391</v>
      </c>
      <c r="C1923" s="5">
        <f>=HYPERLINK("https://nusmods.com/modules/LL5070V#timetable","Timetable")</f>
      </c>
      <c r="D1923" s="5"/>
      <c r="E1923" s="5">
        <f>=HYPERLINK("https://luminus.nus.edu.sg/modules/4c83e850-ae3f-4c2c-ba18-8449e13740e6","LumiNUS course site")</f>
      </c>
      <c r="F1923" s="0" t="s">
        <v>3345</v>
      </c>
      <c r="G1923" s="0" t="s">
        <v>3346</v>
      </c>
      <c r="H1923" s="3">
        <v>12</v>
      </c>
    </row>
    <row r="1924">
      <c r="A1924" s="0" t="s">
        <v>3585</v>
      </c>
      <c r="B1924" s="0" t="s">
        <v>3471</v>
      </c>
      <c r="C1924" s="5">
        <f>=HYPERLINK("https://nusmods.com/modules/LL5073V#timetable","Timetable")</f>
      </c>
      <c r="D1924" s="5"/>
      <c r="E1924" s="5">
        <f>=HYPERLINK("https://luminus.nus.edu.sg/modules/50f2e36a-9b4d-4b74-b368-cb9c4ee6fc89","LumiNUS course site")</f>
      </c>
      <c r="F1924" s="0" t="s">
        <v>3345</v>
      </c>
      <c r="G1924" s="0" t="s">
        <v>3346</v>
      </c>
      <c r="H1924" s="3">
        <v>11</v>
      </c>
    </row>
    <row r="1925">
      <c r="A1925" s="0" t="s">
        <v>3586</v>
      </c>
      <c r="B1925" s="0" t="s">
        <v>3489</v>
      </c>
      <c r="C1925" s="5">
        <f>=HYPERLINK("https://nusmods.com/modules/LL5109V#timetable","Timetable")</f>
      </c>
      <c r="D1925" s="5"/>
      <c r="E1925" s="5">
        <f>=HYPERLINK("https://luminus.nus.edu.sg/modules/e2d96eca-4df4-4180-93bf-896fbe1479f1","LumiNUS course site")</f>
      </c>
      <c r="F1925" s="0" t="s">
        <v>3345</v>
      </c>
      <c r="G1925" s="0" t="s">
        <v>3346</v>
      </c>
      <c r="H1925" s="3">
        <v>3</v>
      </c>
    </row>
    <row r="1926">
      <c r="A1926" s="0" t="s">
        <v>3587</v>
      </c>
      <c r="B1926" s="0" t="s">
        <v>3491</v>
      </c>
      <c r="C1926" s="5">
        <f>=HYPERLINK("https://nusmods.com/modules/LL5164V#timetable","Timetable")</f>
      </c>
      <c r="D1926" s="5"/>
      <c r="E1926" s="5">
        <f>=HYPERLINK("https://luminus.nus.edu.sg/modules/0231f07d-e953-488a-a387-75bf74ac2639","LumiNUS course site")</f>
      </c>
      <c r="F1926" s="0" t="s">
        <v>3345</v>
      </c>
      <c r="G1926" s="0" t="s">
        <v>3346</v>
      </c>
      <c r="H1926" s="3">
        <v>14</v>
      </c>
    </row>
    <row r="1927">
      <c r="A1927" s="0" t="s">
        <v>3588</v>
      </c>
      <c r="B1927" s="0" t="s">
        <v>3493</v>
      </c>
      <c r="C1927" s="5">
        <f>=HYPERLINK("https://nusmods.com/modules/LL5187#timetable","Timetable")</f>
      </c>
      <c r="D1927" s="5"/>
      <c r="E1927" s="5">
        <f>=HYPERLINK("https://luminus.nus.edu.sg/modules/fe971b8b-13e1-45d8-b2a3-c950f87949ba","LumiNUS course site")</f>
      </c>
      <c r="F1927" s="0" t="s">
        <v>3345</v>
      </c>
      <c r="G1927" s="0" t="s">
        <v>3346</v>
      </c>
      <c r="H1927" s="3">
        <v>0</v>
      </c>
    </row>
    <row r="1928">
      <c r="A1928" s="0" t="s">
        <v>3589</v>
      </c>
      <c r="B1928" s="0" t="s">
        <v>3495</v>
      </c>
      <c r="C1928" s="5">
        <f>=HYPERLINK("https://nusmods.com/modules/LL5191#timetable","Timetable")</f>
      </c>
      <c r="D1928" s="5"/>
      <c r="E1928" s="5">
        <f>=HYPERLINK("https://luminus.nus.edu.sg/modules/1d6edf7a-85ab-4d5d-9696-908e7f8e58a4","LumiNUS course site")</f>
      </c>
      <c r="F1928" s="0" t="s">
        <v>3345</v>
      </c>
      <c r="G1928" s="0" t="s">
        <v>3346</v>
      </c>
      <c r="H1928" s="3">
        <v>14</v>
      </c>
    </row>
    <row r="1929">
      <c r="A1929" s="0" t="s">
        <v>3590</v>
      </c>
      <c r="B1929" s="0" t="s">
        <v>3497</v>
      </c>
      <c r="C1929" s="5">
        <f>=HYPERLINK("https://nusmods.com/modules/LL5203#timetable","Timetable")</f>
      </c>
      <c r="D1929" s="5"/>
      <c r="E1929" s="5"/>
      <c r="F1929" s="0" t="s">
        <v>3345</v>
      </c>
      <c r="G1929" s="0" t="s">
        <v>3346</v>
      </c>
      <c r="H1929" s="3">
        <v>0</v>
      </c>
    </row>
    <row r="1930">
      <c r="A1930" s="0" t="s">
        <v>3591</v>
      </c>
      <c r="B1930" s="0" t="s">
        <v>3497</v>
      </c>
      <c r="C1930" s="5">
        <f>=HYPERLINK("https://nusmods.com/modules/LL5203A#timetable","Timetable")</f>
      </c>
      <c r="D1930" s="5"/>
      <c r="E1930" s="5"/>
      <c r="F1930" s="0" t="s">
        <v>3345</v>
      </c>
      <c r="G1930" s="0" t="s">
        <v>3346</v>
      </c>
      <c r="H1930" s="3">
        <v>0</v>
      </c>
    </row>
    <row r="1931">
      <c r="A1931" s="0" t="s">
        <v>3592</v>
      </c>
      <c r="B1931" s="0" t="s">
        <v>3497</v>
      </c>
      <c r="C1931" s="5">
        <f>=HYPERLINK("https://nusmods.com/modules/LL5203B#timetable","Timetable")</f>
      </c>
      <c r="D1931" s="5"/>
      <c r="E1931" s="5"/>
      <c r="F1931" s="0" t="s">
        <v>3345</v>
      </c>
      <c r="G1931" s="0" t="s">
        <v>3346</v>
      </c>
      <c r="H1931" s="3">
        <v>0</v>
      </c>
    </row>
    <row r="1932">
      <c r="A1932" s="0" t="s">
        <v>3593</v>
      </c>
      <c r="B1932" s="0" t="s">
        <v>3497</v>
      </c>
      <c r="C1932" s="5">
        <f>=HYPERLINK("https://nusmods.com/modules/LL5203C#timetable","Timetable")</f>
      </c>
      <c r="D1932" s="5"/>
      <c r="E1932" s="5"/>
      <c r="F1932" s="0" t="s">
        <v>3345</v>
      </c>
      <c r="G1932" s="0" t="s">
        <v>3346</v>
      </c>
      <c r="H1932" s="3">
        <v>0</v>
      </c>
    </row>
    <row r="1933">
      <c r="A1933" s="0" t="s">
        <v>3594</v>
      </c>
      <c r="B1933" s="0" t="s">
        <v>3502</v>
      </c>
      <c r="C1933" s="5">
        <f>=HYPERLINK("https://nusmods.com/modules/LL5214#timetable","Timetable")</f>
      </c>
      <c r="D1933" s="5"/>
      <c r="E1933" s="5">
        <f>=HYPERLINK("https://luminus.nus.edu.sg/modules/6ef27d87-81d1-4ffd-88c6-9cce480b3775","LumiNUS course site")</f>
      </c>
      <c r="F1933" s="0" t="s">
        <v>3345</v>
      </c>
      <c r="G1933" s="0" t="s">
        <v>3346</v>
      </c>
      <c r="H1933" s="3">
        <v>10</v>
      </c>
    </row>
    <row r="1934">
      <c r="A1934" s="0" t="s">
        <v>3595</v>
      </c>
      <c r="B1934" s="0" t="s">
        <v>3504</v>
      </c>
      <c r="C1934" s="5">
        <f>=HYPERLINK("https://nusmods.com/modules/LL5219#timetable","Timetable")</f>
      </c>
      <c r="D1934" s="5"/>
      <c r="E1934" s="5">
        <f>=HYPERLINK("https://luminus.nus.edu.sg/modules/c9461efd-240f-4af7-b4b4-93d4feb8b622","LumiNUS course site")</f>
      </c>
      <c r="F1934" s="0" t="s">
        <v>3345</v>
      </c>
      <c r="G1934" s="0" t="s">
        <v>3346</v>
      </c>
      <c r="H1934" s="3">
        <v>2</v>
      </c>
    </row>
    <row r="1935">
      <c r="A1935" s="0" t="s">
        <v>3596</v>
      </c>
      <c r="B1935" s="0" t="s">
        <v>3506</v>
      </c>
      <c r="C1935" s="5">
        <f>=HYPERLINK("https://nusmods.com/modules/LL5237V#timetable","Timetable")</f>
      </c>
      <c r="D1935" s="5"/>
      <c r="E1935" s="5">
        <f>=HYPERLINK("https://luminus.nus.edu.sg/modules/cdb7c9f9-7177-4ef6-bb00-60ae7ba57c59","LumiNUS course site")</f>
      </c>
      <c r="F1935" s="0" t="s">
        <v>3345</v>
      </c>
      <c r="G1935" s="0" t="s">
        <v>3346</v>
      </c>
      <c r="H1935" s="3">
        <v>13</v>
      </c>
    </row>
    <row r="1936">
      <c r="A1936" s="0" t="s">
        <v>3597</v>
      </c>
      <c r="B1936" s="0" t="s">
        <v>3508</v>
      </c>
      <c r="C1936" s="5">
        <f>=HYPERLINK("https://nusmods.com/modules/LL5244V#timetable","Timetable")</f>
      </c>
      <c r="D1936" s="5"/>
      <c r="E1936" s="5"/>
      <c r="F1936" s="0" t="s">
        <v>3345</v>
      </c>
      <c r="G1936" s="0" t="s">
        <v>3346</v>
      </c>
      <c r="H1936" s="3">
        <v>4</v>
      </c>
    </row>
    <row r="1937">
      <c r="A1937" s="0" t="s">
        <v>3598</v>
      </c>
      <c r="B1937" s="0" t="s">
        <v>3510</v>
      </c>
      <c r="C1937" s="5">
        <f>=HYPERLINK("https://nusmods.com/modules/LL5251V#timetable","Timetable")</f>
      </c>
      <c r="D1937" s="5"/>
      <c r="E1937" s="5">
        <f>=HYPERLINK("https://luminus.nus.edu.sg/modules/f69d8dcf-29aa-40a6-9809-fcad20eaafe6","LumiNUS course site")</f>
      </c>
      <c r="F1937" s="0" t="s">
        <v>3345</v>
      </c>
      <c r="G1937" s="0" t="s">
        <v>3346</v>
      </c>
      <c r="H1937" s="3">
        <v>4</v>
      </c>
    </row>
    <row r="1938">
      <c r="A1938" s="0" t="s">
        <v>3599</v>
      </c>
      <c r="B1938" s="0" t="s">
        <v>3512</v>
      </c>
      <c r="C1938" s="5">
        <f>=HYPERLINK("https://nusmods.com/modules/LL5276#timetable","Timetable")</f>
      </c>
      <c r="D1938" s="5"/>
      <c r="E1938" s="5">
        <f>=HYPERLINK("https://luminus.nus.edu.sg/modules/6d5dbb3e-4179-4b31-8737-3fbea4737538","LumiNUS course site")</f>
      </c>
      <c r="F1938" s="0" t="s">
        <v>3345</v>
      </c>
      <c r="G1938" s="0" t="s">
        <v>3346</v>
      </c>
      <c r="H1938" s="3">
        <v>8</v>
      </c>
    </row>
    <row r="1939">
      <c r="A1939" s="0" t="s">
        <v>3600</v>
      </c>
      <c r="B1939" s="0" t="s">
        <v>3399</v>
      </c>
      <c r="C1939" s="5">
        <f>=HYPERLINK("https://nusmods.com/modules/LL5285V#timetable","Timetable")</f>
      </c>
      <c r="D1939" s="5"/>
      <c r="E1939" s="5">
        <f>=HYPERLINK("https://luminus.nus.edu.sg/modules/c1367b3f-f120-4f9c-a8ad-d6cb3415464b","LumiNUS course site")</f>
      </c>
      <c r="F1939" s="0" t="s">
        <v>3345</v>
      </c>
      <c r="G1939" s="0" t="s">
        <v>3346</v>
      </c>
      <c r="H1939" s="3">
        <v>1</v>
      </c>
    </row>
    <row r="1940">
      <c r="A1940" s="0" t="s">
        <v>3601</v>
      </c>
      <c r="B1940" s="0" t="s">
        <v>3515</v>
      </c>
      <c r="C1940" s="5">
        <f>=HYPERLINK("https://nusmods.com/modules/LL5287V#timetable","Timetable")</f>
      </c>
      <c r="D1940" s="5"/>
      <c r="E1940" s="5">
        <f>=HYPERLINK("https://luminus.nus.edu.sg/modules/ef03fb74-bef7-4d08-ad5a-5293062ed0b9","LumiNUS course site")</f>
      </c>
      <c r="F1940" s="0" t="s">
        <v>3345</v>
      </c>
      <c r="G1940" s="0" t="s">
        <v>3346</v>
      </c>
      <c r="H1940" s="3">
        <v>13</v>
      </c>
    </row>
    <row r="1941">
      <c r="A1941" s="0" t="s">
        <v>3602</v>
      </c>
      <c r="B1941" s="0" t="s">
        <v>3517</v>
      </c>
      <c r="C1941" s="5">
        <f>=HYPERLINK("https://nusmods.com/modules/LL5292V#timetable","Timetable")</f>
      </c>
      <c r="D1941" s="5"/>
      <c r="E1941" s="5">
        <f>=HYPERLINK("https://luminus.nus.edu.sg/modules/40ff165c-8f07-4d1f-a31c-b4359971eca8","LumiNUS course site")</f>
      </c>
      <c r="F1941" s="0" t="s">
        <v>3345</v>
      </c>
      <c r="G1941" s="0" t="s">
        <v>3346</v>
      </c>
      <c r="H1941" s="3">
        <v>2</v>
      </c>
    </row>
    <row r="1942">
      <c r="A1942" s="0" t="s">
        <v>3603</v>
      </c>
      <c r="B1942" s="0" t="s">
        <v>3519</v>
      </c>
      <c r="C1942" s="5">
        <f>=HYPERLINK("https://nusmods.com/modules/LL5320#timetable","Timetable")</f>
      </c>
      <c r="D1942" s="5"/>
      <c r="E1942" s="5">
        <f>=HYPERLINK("https://luminus.nus.edu.sg/modules/9db85b18-c86e-41e2-a3ba-ae49bf653d02","LumiNUS course site")</f>
      </c>
      <c r="F1942" s="0" t="s">
        <v>3345</v>
      </c>
      <c r="G1942" s="0" t="s">
        <v>3346</v>
      </c>
      <c r="H1942" s="3">
        <v>1</v>
      </c>
    </row>
    <row r="1943">
      <c r="A1943" s="0" t="s">
        <v>3604</v>
      </c>
      <c r="B1943" s="0" t="s">
        <v>3521</v>
      </c>
      <c r="C1943" s="5">
        <f>=HYPERLINK("https://nusmods.com/modules/LL5322V#timetable","Timetable")</f>
      </c>
      <c r="D1943" s="5"/>
      <c r="E1943" s="5">
        <f>=HYPERLINK("https://luminus.nus.edu.sg/modules/f9c9dde1-9e85-491b-9ebc-b1db64011c55","LumiNUS course site")</f>
      </c>
      <c r="F1943" s="0" t="s">
        <v>3345</v>
      </c>
      <c r="G1943" s="0" t="s">
        <v>3346</v>
      </c>
      <c r="H1943" s="3">
        <v>17</v>
      </c>
    </row>
    <row r="1944">
      <c r="A1944" s="0" t="s">
        <v>3605</v>
      </c>
      <c r="B1944" s="0" t="s">
        <v>3523</v>
      </c>
      <c r="C1944" s="5">
        <f>=HYPERLINK("https://nusmods.com/modules/LL5328#timetable","Timetable")</f>
      </c>
      <c r="D1944" s="5"/>
      <c r="E1944" s="5">
        <f>=HYPERLINK("https://luminus.nus.edu.sg/modules/e89a0b57-4218-479b-a303-ba21cba1d4e0","LumiNUS course site")</f>
      </c>
      <c r="F1944" s="0" t="s">
        <v>3345</v>
      </c>
      <c r="G1944" s="0" t="s">
        <v>3346</v>
      </c>
      <c r="H1944" s="3">
        <v>19</v>
      </c>
    </row>
    <row r="1945">
      <c r="A1945" s="0" t="s">
        <v>3606</v>
      </c>
      <c r="B1945" s="0" t="s">
        <v>3525</v>
      </c>
      <c r="C1945" s="5">
        <f>=HYPERLINK("https://nusmods.com/modules/LL5335V#timetable","Timetable")</f>
      </c>
      <c r="D1945" s="5"/>
      <c r="E1945" s="5">
        <f>=HYPERLINK("https://luminus.nus.edu.sg/modules/0c1fc728-9f7a-440d-8cb1-0cbfe3523aeb","LumiNUS course site")</f>
      </c>
      <c r="F1945" s="0" t="s">
        <v>3345</v>
      </c>
      <c r="G1945" s="0" t="s">
        <v>3346</v>
      </c>
      <c r="H1945" s="3">
        <v>19</v>
      </c>
    </row>
    <row r="1946">
      <c r="A1946" s="0" t="s">
        <v>3607</v>
      </c>
      <c r="B1946" s="0" t="s">
        <v>3527</v>
      </c>
      <c r="C1946" s="5">
        <f>=HYPERLINK("https://nusmods.com/modules/LL5342V#timetable","Timetable")</f>
      </c>
      <c r="D1946" s="5"/>
      <c r="E1946" s="5">
        <f>=HYPERLINK("https://luminus.nus.edu.sg/modules/66269360-d904-4c0d-852f-4c004ad06f59","LumiNUS course site")</f>
      </c>
      <c r="F1946" s="0" t="s">
        <v>3345</v>
      </c>
      <c r="G1946" s="0" t="s">
        <v>3346</v>
      </c>
      <c r="H1946" s="3">
        <v>16</v>
      </c>
    </row>
    <row r="1947">
      <c r="A1947" s="0" t="s">
        <v>3608</v>
      </c>
      <c r="B1947" s="0" t="s">
        <v>3529</v>
      </c>
      <c r="C1947" s="5">
        <f>=HYPERLINK("https://nusmods.com/modules/LL5359Z#timetable","Timetable")</f>
      </c>
      <c r="D1947" s="5"/>
      <c r="E1947" s="5">
        <f>=HYPERLINK("https://luminus.nus.edu.sg/modules/036553f9-f780-4f66-a349-35486ff9ad96","LumiNUS course site")</f>
      </c>
      <c r="F1947" s="0" t="s">
        <v>3345</v>
      </c>
      <c r="G1947" s="0" t="s">
        <v>3346</v>
      </c>
      <c r="H1947" s="3">
        <v>25</v>
      </c>
    </row>
    <row r="1948">
      <c r="A1948" s="0" t="s">
        <v>3609</v>
      </c>
      <c r="B1948" s="0" t="s">
        <v>3531</v>
      </c>
      <c r="C1948" s="5">
        <f>=HYPERLINK("https://nusmods.com/modules/LL5382V#timetable","Timetable")</f>
      </c>
      <c r="D1948" s="5"/>
      <c r="E1948" s="5">
        <f>=HYPERLINK("https://luminus.nus.edu.sg/modules/e58edecb-c8ec-454e-9dc0-85423c3dcc67","LumiNUS course site")</f>
      </c>
      <c r="F1948" s="0" t="s">
        <v>3345</v>
      </c>
      <c r="G1948" s="0" t="s">
        <v>3346</v>
      </c>
      <c r="H1948" s="3">
        <v>11</v>
      </c>
    </row>
    <row r="1949">
      <c r="A1949" s="0" t="s">
        <v>3610</v>
      </c>
      <c r="B1949" s="0" t="s">
        <v>3533</v>
      </c>
      <c r="C1949" s="5">
        <f>=HYPERLINK("https://nusmods.com/modules/LL5383Z#timetable","Timetable")</f>
      </c>
      <c r="D1949" s="5"/>
      <c r="E1949" s="5">
        <f>=HYPERLINK("https://luminus.nus.edu.sg/modules/aa55e152-c95c-48b1-bd25-40d4aa2dd269","LumiNUS course site")</f>
      </c>
      <c r="F1949" s="0" t="s">
        <v>3345</v>
      </c>
      <c r="G1949" s="0" t="s">
        <v>3346</v>
      </c>
      <c r="H1949" s="3">
        <v>30</v>
      </c>
    </row>
    <row r="1950">
      <c r="A1950" s="0" t="s">
        <v>3611</v>
      </c>
      <c r="B1950" s="0" t="s">
        <v>3612</v>
      </c>
      <c r="C1950" s="5">
        <f>=HYPERLINK("https://nusmods.com/modules/LL5396#timetable","Timetable")</f>
      </c>
      <c r="D1950" s="5"/>
      <c r="E1950" s="5">
        <f>=HYPERLINK("https://luminus.nus.edu.sg/modules/53df0425-5719-47c0-a285-0c6d67023077","LumiNUS course site")</f>
      </c>
      <c r="F1950" s="0" t="s">
        <v>3345</v>
      </c>
      <c r="G1950" s="0" t="s">
        <v>3346</v>
      </c>
      <c r="H1950" s="3">
        <v>3</v>
      </c>
    </row>
    <row r="1951">
      <c r="A1951" s="0" t="s">
        <v>3613</v>
      </c>
      <c r="B1951" s="0" t="s">
        <v>3614</v>
      </c>
      <c r="C1951" s="5">
        <f>=HYPERLINK("https://nusmods.com/modules/LL5396V#timetable","Timetable")</f>
      </c>
      <c r="D1951" s="5"/>
      <c r="E1951" s="5">
        <f>=HYPERLINK("https://luminus.nus.edu.sg/modules/53df0425-5719-47c0-a285-0c6d67023077","LumiNUS course site")</f>
      </c>
      <c r="F1951" s="0" t="s">
        <v>3345</v>
      </c>
      <c r="G1951" s="0" t="s">
        <v>3346</v>
      </c>
      <c r="H1951" s="3">
        <v>2</v>
      </c>
    </row>
    <row r="1952">
      <c r="A1952" s="0" t="s">
        <v>3615</v>
      </c>
      <c r="B1952" s="0" t="s">
        <v>3612</v>
      </c>
      <c r="C1952" s="5">
        <f>=HYPERLINK("https://nusmods.com/modules/LL5397#timetable","Timetable")</f>
      </c>
      <c r="D1952" s="5"/>
      <c r="E1952" s="5"/>
      <c r="F1952" s="0" t="s">
        <v>3345</v>
      </c>
      <c r="G1952" s="0" t="s">
        <v>3346</v>
      </c>
      <c r="H1952" s="3">
        <v>0</v>
      </c>
    </row>
    <row r="1953">
      <c r="A1953" s="0" t="s">
        <v>3616</v>
      </c>
      <c r="B1953" s="0" t="s">
        <v>3614</v>
      </c>
      <c r="C1953" s="5">
        <f>=HYPERLINK("https://nusmods.com/modules/LL5397V#timetable","Timetable")</f>
      </c>
      <c r="D1953" s="5"/>
      <c r="E1953" s="5"/>
      <c r="F1953" s="0" t="s">
        <v>3345</v>
      </c>
      <c r="G1953" s="0" t="s">
        <v>3346</v>
      </c>
      <c r="H1953" s="3">
        <v>0</v>
      </c>
    </row>
    <row r="1954">
      <c r="A1954" s="0" t="s">
        <v>3617</v>
      </c>
      <c r="B1954" s="0" t="s">
        <v>3612</v>
      </c>
      <c r="C1954" s="5">
        <f>=HYPERLINK("https://nusmods.com/modules/LL5398#timetable","Timetable")</f>
      </c>
      <c r="D1954" s="5"/>
      <c r="E1954" s="5"/>
      <c r="F1954" s="0" t="s">
        <v>3345</v>
      </c>
      <c r="G1954" s="0" t="s">
        <v>3346</v>
      </c>
      <c r="H1954" s="3">
        <v>0</v>
      </c>
    </row>
    <row r="1955">
      <c r="A1955" s="0" t="s">
        <v>3618</v>
      </c>
      <c r="B1955" s="0" t="s">
        <v>3405</v>
      </c>
      <c r="C1955" s="5">
        <f>=HYPERLINK("https://nusmods.com/modules/LL5405A#timetable","Timetable")</f>
      </c>
      <c r="D1955" s="5"/>
      <c r="E1955" s="5">
        <f>=HYPERLINK("https://luminus.nus.edu.sg/modules/98df3a4e-0653-4b1e-a29a-09714c52c7da","LumiNUS course site")</f>
      </c>
      <c r="F1955" s="0" t="s">
        <v>3345</v>
      </c>
      <c r="G1955" s="0" t="s">
        <v>3346</v>
      </c>
      <c r="H1955" s="3">
        <v>4</v>
      </c>
    </row>
    <row r="1956">
      <c r="A1956" s="0" t="s">
        <v>3619</v>
      </c>
      <c r="B1956" s="0" t="s">
        <v>3620</v>
      </c>
      <c r="C1956" s="5">
        <f>=HYPERLINK("https://nusmods.com/modules/LL5407#timetable","Timetable")</f>
      </c>
      <c r="D1956" s="5"/>
      <c r="E1956" s="5">
        <f>=HYPERLINK("https://luminus.nus.edu.sg/modules/712d31c9-b2a2-4d4b-a67c-aa2b38044977","LumiNUS course site")</f>
      </c>
      <c r="F1956" s="0" t="s">
        <v>3345</v>
      </c>
      <c r="G1956" s="0" t="s">
        <v>3346</v>
      </c>
      <c r="H1956" s="3">
        <v>1</v>
      </c>
    </row>
    <row r="1957">
      <c r="A1957" s="0" t="s">
        <v>3621</v>
      </c>
      <c r="B1957" s="0" t="s">
        <v>3542</v>
      </c>
      <c r="C1957" s="5">
        <f>=HYPERLINK("https://nusmods.com/modules/LL5433V#timetable","Timetable")</f>
      </c>
      <c r="D1957" s="5"/>
      <c r="E1957" s="5">
        <f>=HYPERLINK("https://luminus.nus.edu.sg/modules/897baf17-5b09-47a7-9202-ef66c2a775fe","LumiNUS course site")</f>
      </c>
      <c r="F1957" s="0" t="s">
        <v>3345</v>
      </c>
      <c r="G1957" s="0" t="s">
        <v>3346</v>
      </c>
      <c r="H1957" s="3">
        <v>16</v>
      </c>
    </row>
    <row r="1958">
      <c r="A1958" s="0" t="s">
        <v>3622</v>
      </c>
      <c r="B1958" s="0" t="s">
        <v>3544</v>
      </c>
      <c r="C1958" s="5">
        <f>=HYPERLINK("https://nusmods.com/modules/LL5436V#timetable","Timetable")</f>
      </c>
      <c r="D1958" s="5"/>
      <c r="E1958" s="5">
        <f>=HYPERLINK("https://luminus.nus.edu.sg/modules/16332bb2-3a04-4642-a55f-4d95165cd40e","LumiNUS course site")</f>
      </c>
      <c r="F1958" s="0" t="s">
        <v>3345</v>
      </c>
      <c r="G1958" s="0" t="s">
        <v>3346</v>
      </c>
      <c r="H1958" s="3">
        <v>5</v>
      </c>
    </row>
    <row r="1959">
      <c r="A1959" s="0" t="s">
        <v>3623</v>
      </c>
      <c r="B1959" s="0" t="s">
        <v>3546</v>
      </c>
      <c r="C1959" s="5">
        <f>=HYPERLINK("https://nusmods.com/modules/LL5454V#timetable","Timetable")</f>
      </c>
      <c r="D1959" s="5"/>
      <c r="E1959" s="5">
        <f>=HYPERLINK("https://luminus.nus.edu.sg/modules/2fc1f70a-57e6-4caf-b678-fc1b1253d8c4","LumiNUS course site")</f>
      </c>
      <c r="F1959" s="0" t="s">
        <v>3345</v>
      </c>
      <c r="G1959" s="0" t="s">
        <v>3346</v>
      </c>
      <c r="H1959" s="3">
        <v>11</v>
      </c>
    </row>
    <row r="1960">
      <c r="A1960" s="0" t="s">
        <v>3624</v>
      </c>
      <c r="B1960" s="0" t="s">
        <v>3548</v>
      </c>
      <c r="C1960" s="5">
        <f>=HYPERLINK("https://nusmods.com/modules/LL5463V#timetable","Timetable")</f>
      </c>
      <c r="D1960" s="5"/>
      <c r="E1960" s="5"/>
      <c r="F1960" s="0" t="s">
        <v>3345</v>
      </c>
      <c r="G1960" s="0" t="s">
        <v>3346</v>
      </c>
      <c r="H1960" s="3">
        <v>0</v>
      </c>
    </row>
    <row r="1961">
      <c r="A1961" s="0" t="s">
        <v>3625</v>
      </c>
      <c r="B1961" s="0" t="s">
        <v>3550</v>
      </c>
      <c r="C1961" s="5">
        <f>=HYPERLINK("https://nusmods.com/modules/LL5464#timetable","Timetable")</f>
      </c>
      <c r="D1961" s="5"/>
      <c r="E1961" s="5">
        <f>=HYPERLINK("https://luminus.nus.edu.sg/modules/57d19b71-5326-4fff-8f2f-2923cc344b2d","LumiNUS course site")</f>
      </c>
      <c r="F1961" s="0" t="s">
        <v>3345</v>
      </c>
      <c r="G1961" s="0" t="s">
        <v>3346</v>
      </c>
      <c r="H1961" s="3">
        <v>8</v>
      </c>
    </row>
    <row r="1962">
      <c r="A1962" s="0" t="s">
        <v>3626</v>
      </c>
      <c r="B1962" s="0" t="s">
        <v>3552</v>
      </c>
      <c r="C1962" s="5">
        <f>=HYPERLINK("https://nusmods.com/modules/LL5465#timetable","Timetable")</f>
      </c>
      <c r="D1962" s="5"/>
      <c r="E1962" s="5">
        <f>=HYPERLINK("https://luminus.nus.edu.sg/modules/fa25d1f6-9e45-438b-811a-cbbb13a2d3c3","LumiNUS course site")</f>
      </c>
      <c r="F1962" s="0" t="s">
        <v>3345</v>
      </c>
      <c r="G1962" s="0" t="s">
        <v>3346</v>
      </c>
      <c r="H1962" s="3">
        <v>6</v>
      </c>
    </row>
    <row r="1963">
      <c r="A1963" s="0" t="s">
        <v>3627</v>
      </c>
      <c r="B1963" s="0" t="s">
        <v>3554</v>
      </c>
      <c r="C1963" s="5">
        <f>=HYPERLINK("https://nusmods.com/modules/LL5471#timetable","Timetable")</f>
      </c>
      <c r="D1963" s="5"/>
      <c r="E1963" s="5">
        <f>=HYPERLINK("https://luminus.nus.edu.sg/modules/a5470b27-cacf-4762-a2ed-893d839691de","LumiNUS course site")</f>
      </c>
      <c r="F1963" s="0" t="s">
        <v>3345</v>
      </c>
      <c r="G1963" s="0" t="s">
        <v>3346</v>
      </c>
      <c r="H1963" s="3">
        <v>13</v>
      </c>
    </row>
    <row r="1964">
      <c r="A1964" s="0" t="s">
        <v>3628</v>
      </c>
      <c r="B1964" s="0" t="s">
        <v>3556</v>
      </c>
      <c r="C1964" s="5">
        <f>=HYPERLINK("https://nusmods.com/modules/LL5472#timetable","Timetable")</f>
      </c>
      <c r="D1964" s="5"/>
      <c r="E1964" s="5">
        <f>=HYPERLINK("https://luminus.nus.edu.sg/modules/3eb89951-a0ff-487b-914f-53ddbbe0d0b7","LumiNUS course site")</f>
      </c>
      <c r="F1964" s="0" t="s">
        <v>3345</v>
      </c>
      <c r="G1964" s="0" t="s">
        <v>3346</v>
      </c>
      <c r="H1964" s="3">
        <v>25</v>
      </c>
    </row>
    <row r="1965">
      <c r="A1965" s="0" t="s">
        <v>3629</v>
      </c>
      <c r="B1965" s="0" t="s">
        <v>3558</v>
      </c>
      <c r="C1965" s="5">
        <f>=HYPERLINK("https://nusmods.com/modules/LL5473#timetable","Timetable")</f>
      </c>
      <c r="D1965" s="5"/>
      <c r="E1965" s="5">
        <f>=HYPERLINK("https://luminus.nus.edu.sg/modules/24d35521-af8b-4cc1-bfeb-80ebd95e1038","LumiNUS course site")</f>
      </c>
      <c r="F1965" s="0" t="s">
        <v>3345</v>
      </c>
      <c r="G1965" s="0" t="s">
        <v>3346</v>
      </c>
      <c r="H1965" s="3">
        <v>6</v>
      </c>
    </row>
    <row r="1966">
      <c r="A1966" s="0" t="s">
        <v>3630</v>
      </c>
      <c r="B1966" s="0" t="s">
        <v>3560</v>
      </c>
      <c r="C1966" s="5">
        <f>=HYPERLINK("https://nusmods.com/modules/LL5474#timetable","Timetable")</f>
      </c>
      <c r="D1966" s="5"/>
      <c r="E1966" s="5">
        <f>=HYPERLINK("https://luminus.nus.edu.sg/modules/46ce588c-f723-4fb7-a4e7-ac0a95b5ed1c","LumiNUS course site")</f>
      </c>
      <c r="F1966" s="0" t="s">
        <v>3345</v>
      </c>
      <c r="G1966" s="0" t="s">
        <v>3346</v>
      </c>
      <c r="H1966" s="3">
        <v>26</v>
      </c>
    </row>
    <row r="1967">
      <c r="A1967" s="0" t="s">
        <v>3631</v>
      </c>
      <c r="B1967" s="0" t="s">
        <v>3562</v>
      </c>
      <c r="C1967" s="5">
        <f>=HYPERLINK("https://nusmods.com/modules/LL5475V#timetable","Timetable")</f>
      </c>
      <c r="D1967" s="5"/>
      <c r="E1967" s="5">
        <f>=HYPERLINK("https://luminus.nus.edu.sg/modules/c2854abd-1f83-49f7-a56f-85593f1b24d9","LumiNUS course site")</f>
      </c>
      <c r="F1967" s="0" t="s">
        <v>3345</v>
      </c>
      <c r="G1967" s="0" t="s">
        <v>3346</v>
      </c>
      <c r="H1967" s="3">
        <v>20</v>
      </c>
    </row>
    <row r="1968">
      <c r="A1968" s="0" t="s">
        <v>3632</v>
      </c>
      <c r="B1968" s="0" t="s">
        <v>3438</v>
      </c>
      <c r="C1968" s="5">
        <f>=HYPERLINK("https://nusmods.com/modules/LL6002V#timetable","Timetable")</f>
      </c>
      <c r="D1968" s="5"/>
      <c r="E1968" s="5">
        <f>=HYPERLINK("https://luminus.nus.edu.sg/modules/89da07be-fb07-484b-822b-b8f06b82186e","LumiNUS course site")</f>
      </c>
      <c r="F1968" s="0" t="s">
        <v>3345</v>
      </c>
      <c r="G1968" s="0" t="s">
        <v>3346</v>
      </c>
      <c r="H1968" s="3">
        <v>0</v>
      </c>
    </row>
    <row r="1969">
      <c r="A1969" s="0" t="s">
        <v>3633</v>
      </c>
      <c r="B1969" s="0" t="s">
        <v>3440</v>
      </c>
      <c r="C1969" s="5">
        <f>=HYPERLINK("https://nusmods.com/modules/LL6004V#timetable","Timetable")</f>
      </c>
      <c r="D1969" s="5"/>
      <c r="E1969" s="5">
        <f>=HYPERLINK("https://luminus.nus.edu.sg/modules/72c72adb-6c75-451c-8612-a27fb73f2135","LumiNUS course site")</f>
      </c>
      <c r="F1969" s="0" t="s">
        <v>3345</v>
      </c>
      <c r="G1969" s="0" t="s">
        <v>3346</v>
      </c>
      <c r="H1969" s="3">
        <v>0</v>
      </c>
    </row>
    <row r="1970">
      <c r="A1970" s="0" t="s">
        <v>3634</v>
      </c>
      <c r="B1970" s="0" t="s">
        <v>3442</v>
      </c>
      <c r="C1970" s="5">
        <f>=HYPERLINK("https://nusmods.com/modules/LL6006V#timetable","Timetable")</f>
      </c>
      <c r="D1970" s="5"/>
      <c r="E1970" s="5">
        <f>=HYPERLINK("https://luminus.nus.edu.sg/modules/ca31edb1-db22-4568-80d5-4843f77fde68","LumiNUS course site")</f>
      </c>
      <c r="F1970" s="0" t="s">
        <v>3345</v>
      </c>
      <c r="G1970" s="0" t="s">
        <v>3346</v>
      </c>
      <c r="H1970" s="3">
        <v>0</v>
      </c>
    </row>
    <row r="1971">
      <c r="A1971" s="0" t="s">
        <v>3635</v>
      </c>
      <c r="B1971" s="0" t="s">
        <v>3567</v>
      </c>
      <c r="C1971" s="5">
        <f>=HYPERLINK("https://nusmods.com/modules/LL6007#timetable","Timetable")</f>
      </c>
      <c r="D1971" s="5"/>
      <c r="E1971" s="5">
        <f>=HYPERLINK("https://luminus.nus.edu.sg/modules/e0c56f4f-14e4-4e59-b81a-cc80ebbd6131","LumiNUS course site")</f>
      </c>
      <c r="F1971" s="0" t="s">
        <v>3345</v>
      </c>
      <c r="G1971" s="0" t="s">
        <v>3346</v>
      </c>
      <c r="H1971" s="3">
        <v>0</v>
      </c>
    </row>
    <row r="1972">
      <c r="A1972" s="0" t="s">
        <v>3636</v>
      </c>
      <c r="B1972" s="0" t="s">
        <v>3393</v>
      </c>
      <c r="C1972" s="5">
        <f>=HYPERLINK("https://nusmods.com/modules/LL6008AV#timetable","Timetable")</f>
      </c>
      <c r="D1972" s="5"/>
      <c r="E1972" s="5">
        <f>=HYPERLINK("https://luminus.nus.edu.sg/modules/c6a4a21c-d1ef-4d88-85f9-d8b777130bc1","LumiNUS course site")</f>
      </c>
      <c r="F1972" s="0" t="s">
        <v>3345</v>
      </c>
      <c r="G1972" s="0" t="s">
        <v>3346</v>
      </c>
      <c r="H1972" s="3">
        <v>0</v>
      </c>
    </row>
    <row r="1973">
      <c r="A1973" s="0" t="s">
        <v>3637</v>
      </c>
      <c r="B1973" s="0" t="s">
        <v>3570</v>
      </c>
      <c r="C1973" s="5">
        <f>=HYPERLINK("https://nusmods.com/modules/LL6009GRSI#timetable","Timetable")</f>
      </c>
      <c r="D1973" s="5"/>
      <c r="E1973" s="5">
        <f>=HYPERLINK("https://luminus.nus.edu.sg/modules/f7ccac22-7240-4894-a3a2-e0671b646c6a","LumiNUS course site")</f>
      </c>
      <c r="F1973" s="0" t="s">
        <v>3345</v>
      </c>
      <c r="G1973" s="0" t="s">
        <v>3346</v>
      </c>
      <c r="H1973" s="3">
        <v>2</v>
      </c>
    </row>
    <row r="1974">
      <c r="A1974" s="0" t="s">
        <v>3638</v>
      </c>
      <c r="B1974" s="0" t="s">
        <v>3447</v>
      </c>
      <c r="C1974" s="5">
        <f>=HYPERLINK("https://nusmods.com/modules/LL6009V#timetable","Timetable")</f>
      </c>
      <c r="D1974" s="5"/>
      <c r="E1974" s="5">
        <f>=HYPERLINK("https://luminus.nus.edu.sg/modules/23d2a4a3-6749-4ea2-86ca-6d81b31bf858","LumiNUS course site")</f>
      </c>
      <c r="F1974" s="0" t="s">
        <v>3345</v>
      </c>
      <c r="G1974" s="0" t="s">
        <v>3346</v>
      </c>
      <c r="H1974" s="3">
        <v>0</v>
      </c>
    </row>
    <row r="1975">
      <c r="A1975" s="0" t="s">
        <v>3639</v>
      </c>
      <c r="B1975" s="0" t="s">
        <v>3449</v>
      </c>
      <c r="C1975" s="5">
        <f>=HYPERLINK("https://nusmods.com/modules/LL6019V#timetable","Timetable")</f>
      </c>
      <c r="D1975" s="5"/>
      <c r="E1975" s="5">
        <f>=HYPERLINK("https://luminus.nus.edu.sg/modules/3c837b12-59db-4b7c-b2ea-efa293b04848","LumiNUS course site")</f>
      </c>
      <c r="F1975" s="0" t="s">
        <v>3345</v>
      </c>
      <c r="G1975" s="0" t="s">
        <v>3346</v>
      </c>
      <c r="H1975" s="3">
        <v>0</v>
      </c>
    </row>
    <row r="1976">
      <c r="A1976" s="0" t="s">
        <v>3640</v>
      </c>
      <c r="B1976" s="0" t="s">
        <v>3397</v>
      </c>
      <c r="C1976" s="5">
        <f>=HYPERLINK("https://nusmods.com/modules/LL6029V#timetable","Timetable")</f>
      </c>
      <c r="D1976" s="5"/>
      <c r="E1976" s="5"/>
      <c r="F1976" s="0" t="s">
        <v>3345</v>
      </c>
      <c r="G1976" s="0" t="s">
        <v>3346</v>
      </c>
      <c r="H1976" s="3">
        <v>0</v>
      </c>
    </row>
    <row r="1977">
      <c r="A1977" s="0" t="s">
        <v>3641</v>
      </c>
      <c r="B1977" s="0" t="s">
        <v>3453</v>
      </c>
      <c r="C1977" s="5">
        <f>=HYPERLINK("https://nusmods.com/modules/LL6031V#timetable","Timetable")</f>
      </c>
      <c r="D1977" s="5"/>
      <c r="E1977" s="5">
        <f>=HYPERLINK("https://luminus.nus.edu.sg/modules/d765a248-1c87-4268-aae4-9c07f3c86856","LumiNUS course site")</f>
      </c>
      <c r="F1977" s="0" t="s">
        <v>3345</v>
      </c>
      <c r="G1977" s="0" t="s">
        <v>3346</v>
      </c>
      <c r="H1977" s="3">
        <v>0</v>
      </c>
    </row>
    <row r="1978">
      <c r="A1978" s="0" t="s">
        <v>3642</v>
      </c>
      <c r="B1978" s="0" t="s">
        <v>3576</v>
      </c>
      <c r="C1978" s="5">
        <f>=HYPERLINK("https://nusmods.com/modules/LL6032#timetable","Timetable")</f>
      </c>
      <c r="D1978" s="5"/>
      <c r="E1978" s="5">
        <f>=HYPERLINK("https://luminus.nus.edu.sg/modules/83f0a696-c23a-44f7-b6fd-da5c77c8e107","LumiNUS course site")</f>
      </c>
      <c r="F1978" s="0" t="s">
        <v>3345</v>
      </c>
      <c r="G1978" s="0" t="s">
        <v>3346</v>
      </c>
      <c r="H1978" s="3">
        <v>0</v>
      </c>
    </row>
    <row r="1979">
      <c r="A1979" s="0" t="s">
        <v>3643</v>
      </c>
      <c r="B1979" s="0" t="s">
        <v>3457</v>
      </c>
      <c r="C1979" s="5">
        <f>=HYPERLINK("https://nusmods.com/modules/LL6033V#timetable","Timetable")</f>
      </c>
      <c r="D1979" s="5">
        <f>=HYPERLINK("https://canvas.nus.edu.sg/courses/22873","Canvas course site")</f>
      </c>
      <c r="E1979" s="5"/>
      <c r="F1979" s="0" t="s">
        <v>3345</v>
      </c>
      <c r="G1979" s="0" t="s">
        <v>3346</v>
      </c>
      <c r="H1979" s="3">
        <v>0</v>
      </c>
    </row>
    <row r="1980">
      <c r="A1980" s="0" t="s">
        <v>3644</v>
      </c>
      <c r="B1980" s="0" t="s">
        <v>3459</v>
      </c>
      <c r="C1980" s="5">
        <f>=HYPERLINK("https://nusmods.com/modules/LL6045V#timetable","Timetable")</f>
      </c>
      <c r="D1980" s="5"/>
      <c r="E1980" s="5">
        <f>=HYPERLINK("https://luminus.nus.edu.sg/modules/5f8c6847-ffa9-42f6-b521-bb6ecea0f656","LumiNUS course site")</f>
      </c>
      <c r="F1980" s="0" t="s">
        <v>3345</v>
      </c>
      <c r="G1980" s="0" t="s">
        <v>3346</v>
      </c>
      <c r="H1980" s="3">
        <v>0</v>
      </c>
    </row>
    <row r="1981">
      <c r="A1981" s="0" t="s">
        <v>3645</v>
      </c>
      <c r="B1981" s="0" t="s">
        <v>3389</v>
      </c>
      <c r="C1981" s="5">
        <f>=HYPERLINK("https://nusmods.com/modules/LL6050V#timetable","Timetable")</f>
      </c>
      <c r="D1981" s="5">
        <f>=HYPERLINK("https://canvas.nus.edu.sg/courses/22884","Canvas course site")</f>
      </c>
      <c r="E1981" s="5">
        <f>=HYPERLINK("https://luminus.nus.edu.sg/modules/7a699d15-7fad-4e4b-ab91-74babb430c03","LumiNUS course site")</f>
      </c>
      <c r="F1981" s="0" t="s">
        <v>3345</v>
      </c>
      <c r="G1981" s="0" t="s">
        <v>3346</v>
      </c>
      <c r="H1981" s="3">
        <v>0</v>
      </c>
    </row>
    <row r="1982">
      <c r="A1982" s="0" t="s">
        <v>3646</v>
      </c>
      <c r="B1982" s="0" t="s">
        <v>3462</v>
      </c>
      <c r="C1982" s="5">
        <f>=HYPERLINK("https://nusmods.com/modules/LL6056BV#timetable","Timetable")</f>
      </c>
      <c r="D1982" s="5"/>
      <c r="E1982" s="5">
        <f>=HYPERLINK("https://luminus.nus.edu.sg/modules/4d962d80-b7a6-4bb6-a10d-39a85f57209f","LumiNUS course site")</f>
      </c>
      <c r="F1982" s="0" t="s">
        <v>3345</v>
      </c>
      <c r="G1982" s="0" t="s">
        <v>3346</v>
      </c>
      <c r="H1982" s="3">
        <v>0</v>
      </c>
    </row>
    <row r="1983">
      <c r="A1983" s="0" t="s">
        <v>3647</v>
      </c>
      <c r="B1983" s="0" t="s">
        <v>3464</v>
      </c>
      <c r="C1983" s="5">
        <f>=HYPERLINK("https://nusmods.com/modules/LL6060B#timetable","Timetable")</f>
      </c>
      <c r="D1983" s="5"/>
      <c r="E1983" s="5">
        <f>=HYPERLINK("https://luminus.nus.edu.sg/modules/c6fdbe98-1cf4-4397-9589-f62b10f16840","LumiNUS course site")</f>
      </c>
      <c r="F1983" s="0" t="s">
        <v>3345</v>
      </c>
      <c r="G1983" s="0" t="s">
        <v>3346</v>
      </c>
      <c r="H1983" s="3">
        <v>0</v>
      </c>
    </row>
    <row r="1984">
      <c r="A1984" s="0" t="s">
        <v>3648</v>
      </c>
      <c r="B1984" s="0" t="s">
        <v>3466</v>
      </c>
      <c r="C1984" s="5">
        <f>=HYPERLINK("https://nusmods.com/modules/LL6063V#timetable","Timetable")</f>
      </c>
      <c r="D1984" s="5"/>
      <c r="E1984" s="5">
        <f>=HYPERLINK("https://luminus.nus.edu.sg/modules/02dcb538-7a3c-401d-be65-e6cbe33f3817","LumiNUS course site")</f>
      </c>
      <c r="F1984" s="0" t="s">
        <v>3345</v>
      </c>
      <c r="G1984" s="0" t="s">
        <v>3346</v>
      </c>
      <c r="H1984" s="3">
        <v>0</v>
      </c>
    </row>
    <row r="1985">
      <c r="A1985" s="0" t="s">
        <v>3649</v>
      </c>
      <c r="B1985" s="0" t="s">
        <v>3468</v>
      </c>
      <c r="C1985" s="5">
        <f>=HYPERLINK("https://nusmods.com/modules/LL6064V#timetable","Timetable")</f>
      </c>
      <c r="D1985" s="5">
        <f>=HYPERLINK("https://canvas.nus.edu.sg/courses/22905","Canvas course site")</f>
      </c>
      <c r="E1985" s="5"/>
      <c r="F1985" s="0" t="s">
        <v>3345</v>
      </c>
      <c r="G1985" s="0" t="s">
        <v>3346</v>
      </c>
      <c r="H1985" s="3">
        <v>0</v>
      </c>
    </row>
    <row r="1986">
      <c r="A1986" s="0" t="s">
        <v>3650</v>
      </c>
      <c r="B1986" s="0" t="s">
        <v>3391</v>
      </c>
      <c r="C1986" s="5">
        <f>=HYPERLINK("https://nusmods.com/modules/LL6070V#timetable","Timetable")</f>
      </c>
      <c r="D1986" s="5"/>
      <c r="E1986" s="5">
        <f>=HYPERLINK("https://luminus.nus.edu.sg/modules/4c83e850-ae3f-4c2c-ba18-8449e13740e6","LumiNUS course site")</f>
      </c>
      <c r="F1986" s="0" t="s">
        <v>3345</v>
      </c>
      <c r="G1986" s="0" t="s">
        <v>3346</v>
      </c>
      <c r="H1986" s="3">
        <v>0</v>
      </c>
    </row>
    <row r="1987">
      <c r="A1987" s="0" t="s">
        <v>3651</v>
      </c>
      <c r="B1987" s="0" t="s">
        <v>3471</v>
      </c>
      <c r="C1987" s="5">
        <f>=HYPERLINK("https://nusmods.com/modules/LL6073V#timetable","Timetable")</f>
      </c>
      <c r="D1987" s="5"/>
      <c r="E1987" s="5">
        <f>=HYPERLINK("https://luminus.nus.edu.sg/modules/50f2e36a-9b4d-4b74-b368-cb9c4ee6fc89","LumiNUS course site")</f>
      </c>
      <c r="F1987" s="0" t="s">
        <v>3345</v>
      </c>
      <c r="G1987" s="0" t="s">
        <v>3346</v>
      </c>
      <c r="H1987" s="3">
        <v>0</v>
      </c>
    </row>
    <row r="1988">
      <c r="A1988" s="0" t="s">
        <v>3652</v>
      </c>
      <c r="B1988" s="0" t="s">
        <v>3489</v>
      </c>
      <c r="C1988" s="5">
        <f>=HYPERLINK("https://nusmods.com/modules/LL6109V#timetable","Timetable")</f>
      </c>
      <c r="D1988" s="5"/>
      <c r="E1988" s="5">
        <f>=HYPERLINK("https://luminus.nus.edu.sg/modules/e2d96eca-4df4-4180-93bf-896fbe1479f1","LumiNUS course site")</f>
      </c>
      <c r="F1988" s="0" t="s">
        <v>3345</v>
      </c>
      <c r="G1988" s="0" t="s">
        <v>3346</v>
      </c>
      <c r="H1988" s="3">
        <v>0</v>
      </c>
    </row>
    <row r="1989">
      <c r="A1989" s="0" t="s">
        <v>3653</v>
      </c>
      <c r="B1989" s="0" t="s">
        <v>3491</v>
      </c>
      <c r="C1989" s="5">
        <f>=HYPERLINK("https://nusmods.com/modules/LL6164V#timetable","Timetable")</f>
      </c>
      <c r="D1989" s="5"/>
      <c r="E1989" s="5">
        <f>=HYPERLINK("https://luminus.nus.edu.sg/modules/0231f07d-e953-488a-a387-75bf74ac2639","LumiNUS course site")</f>
      </c>
      <c r="F1989" s="0" t="s">
        <v>3345</v>
      </c>
      <c r="G1989" s="0" t="s">
        <v>3346</v>
      </c>
      <c r="H1989" s="3">
        <v>0</v>
      </c>
    </row>
    <row r="1990">
      <c r="A1990" s="0" t="s">
        <v>3654</v>
      </c>
      <c r="B1990" s="0" t="s">
        <v>3493</v>
      </c>
      <c r="C1990" s="5">
        <f>=HYPERLINK("https://nusmods.com/modules/LL6187#timetable","Timetable")</f>
      </c>
      <c r="D1990" s="5"/>
      <c r="E1990" s="5">
        <f>=HYPERLINK("https://luminus.nus.edu.sg/modules/fe971b8b-13e1-45d8-b2a3-c950f87949ba","LumiNUS course site")</f>
      </c>
      <c r="F1990" s="0" t="s">
        <v>3345</v>
      </c>
      <c r="G1990" s="0" t="s">
        <v>3346</v>
      </c>
      <c r="H1990" s="3">
        <v>0</v>
      </c>
    </row>
    <row r="1991">
      <c r="A1991" s="0" t="s">
        <v>3655</v>
      </c>
      <c r="B1991" s="0" t="s">
        <v>3495</v>
      </c>
      <c r="C1991" s="5">
        <f>=HYPERLINK("https://nusmods.com/modules/LL6191#timetable","Timetable")</f>
      </c>
      <c r="D1991" s="5"/>
      <c r="E1991" s="5">
        <f>=HYPERLINK("https://luminus.nus.edu.sg/modules/1d6edf7a-85ab-4d5d-9696-908e7f8e58a4","LumiNUS course site")</f>
      </c>
      <c r="F1991" s="0" t="s">
        <v>3345</v>
      </c>
      <c r="G1991" s="0" t="s">
        <v>3346</v>
      </c>
      <c r="H1991" s="3">
        <v>0</v>
      </c>
    </row>
    <row r="1992">
      <c r="A1992" s="0" t="s">
        <v>3656</v>
      </c>
      <c r="B1992" s="0" t="s">
        <v>3497</v>
      </c>
      <c r="C1992" s="5">
        <f>=HYPERLINK("https://nusmods.com/modules/LL6203#timetable","Timetable")</f>
      </c>
      <c r="D1992" s="5"/>
      <c r="E1992" s="5"/>
      <c r="F1992" s="0" t="s">
        <v>3345</v>
      </c>
      <c r="G1992" s="0" t="s">
        <v>3346</v>
      </c>
      <c r="H1992" s="3">
        <v>0</v>
      </c>
    </row>
    <row r="1993">
      <c r="A1993" s="0" t="s">
        <v>3657</v>
      </c>
      <c r="B1993" s="0" t="s">
        <v>3497</v>
      </c>
      <c r="C1993" s="5">
        <f>=HYPERLINK("https://nusmods.com/modules/LL6203A#timetable","Timetable")</f>
      </c>
      <c r="D1993" s="5"/>
      <c r="E1993" s="5"/>
      <c r="F1993" s="0" t="s">
        <v>3345</v>
      </c>
      <c r="G1993" s="0" t="s">
        <v>3346</v>
      </c>
      <c r="H1993" s="3">
        <v>0</v>
      </c>
    </row>
    <row r="1994">
      <c r="A1994" s="0" t="s">
        <v>3658</v>
      </c>
      <c r="B1994" s="0" t="s">
        <v>3497</v>
      </c>
      <c r="C1994" s="5">
        <f>=HYPERLINK("https://nusmods.com/modules/LL6203B#timetable","Timetable")</f>
      </c>
      <c r="D1994" s="5"/>
      <c r="E1994" s="5"/>
      <c r="F1994" s="0" t="s">
        <v>3345</v>
      </c>
      <c r="G1994" s="0" t="s">
        <v>3346</v>
      </c>
      <c r="H1994" s="3">
        <v>0</v>
      </c>
    </row>
    <row r="1995">
      <c r="A1995" s="0" t="s">
        <v>3659</v>
      </c>
      <c r="B1995" s="0" t="s">
        <v>3497</v>
      </c>
      <c r="C1995" s="5">
        <f>=HYPERLINK("https://nusmods.com/modules/LL6203C#timetable","Timetable")</f>
      </c>
      <c r="D1995" s="5"/>
      <c r="E1995" s="5"/>
      <c r="F1995" s="0" t="s">
        <v>3345</v>
      </c>
      <c r="G1995" s="0" t="s">
        <v>3346</v>
      </c>
      <c r="H1995" s="3">
        <v>0</v>
      </c>
    </row>
    <row r="1996">
      <c r="A1996" s="0" t="s">
        <v>3660</v>
      </c>
      <c r="B1996" s="0" t="s">
        <v>3502</v>
      </c>
      <c r="C1996" s="5">
        <f>=HYPERLINK("https://nusmods.com/modules/LL6214#timetable","Timetable")</f>
      </c>
      <c r="D1996" s="5"/>
      <c r="E1996" s="5">
        <f>=HYPERLINK("https://luminus.nus.edu.sg/modules/6ef27d87-81d1-4ffd-88c6-9cce480b3775","LumiNUS course site")</f>
      </c>
      <c r="F1996" s="0" t="s">
        <v>3345</v>
      </c>
      <c r="G1996" s="0" t="s">
        <v>3346</v>
      </c>
      <c r="H1996" s="3">
        <v>0</v>
      </c>
    </row>
    <row r="1997">
      <c r="A1997" s="0" t="s">
        <v>3661</v>
      </c>
      <c r="B1997" s="0" t="s">
        <v>3504</v>
      </c>
      <c r="C1997" s="5">
        <f>=HYPERLINK("https://nusmods.com/modules/LL6219#timetable","Timetable")</f>
      </c>
      <c r="D1997" s="5"/>
      <c r="E1997" s="5">
        <f>=HYPERLINK("https://luminus.nus.edu.sg/modules/c9461efd-240f-4af7-b4b4-93d4feb8b622","LumiNUS course site")</f>
      </c>
      <c r="F1997" s="0" t="s">
        <v>3345</v>
      </c>
      <c r="G1997" s="0" t="s">
        <v>3346</v>
      </c>
      <c r="H1997" s="3">
        <v>0</v>
      </c>
    </row>
    <row r="1998">
      <c r="A1998" s="0" t="s">
        <v>3662</v>
      </c>
      <c r="B1998" s="0" t="s">
        <v>3506</v>
      </c>
      <c r="C1998" s="5">
        <f>=HYPERLINK("https://nusmods.com/modules/LL6237V#timetable","Timetable")</f>
      </c>
      <c r="D1998" s="5"/>
      <c r="E1998" s="5">
        <f>=HYPERLINK("https://luminus.nus.edu.sg/modules/cdb7c9f9-7177-4ef6-bb00-60ae7ba57c59","LumiNUS course site")</f>
      </c>
      <c r="F1998" s="0" t="s">
        <v>3345</v>
      </c>
      <c r="G1998" s="0" t="s">
        <v>3346</v>
      </c>
      <c r="H1998" s="3">
        <v>0</v>
      </c>
    </row>
    <row r="1999">
      <c r="A1999" s="0" t="s">
        <v>3663</v>
      </c>
      <c r="B1999" s="0" t="s">
        <v>3508</v>
      </c>
      <c r="C1999" s="5">
        <f>=HYPERLINK("https://nusmods.com/modules/LL6244V#timetable","Timetable")</f>
      </c>
      <c r="D1999" s="5"/>
      <c r="E1999" s="5"/>
      <c r="F1999" s="0" t="s">
        <v>3345</v>
      </c>
      <c r="G1999" s="0" t="s">
        <v>3346</v>
      </c>
      <c r="H1999" s="3">
        <v>0</v>
      </c>
    </row>
    <row r="2000">
      <c r="A2000" s="0" t="s">
        <v>3664</v>
      </c>
      <c r="B2000" s="0" t="s">
        <v>3510</v>
      </c>
      <c r="C2000" s="5">
        <f>=HYPERLINK("https://nusmods.com/modules/LL6251V#timetable","Timetable")</f>
      </c>
      <c r="D2000" s="5"/>
      <c r="E2000" s="5">
        <f>=HYPERLINK("https://luminus.nus.edu.sg/modules/f69d8dcf-29aa-40a6-9809-fcad20eaafe6","LumiNUS course site")</f>
      </c>
      <c r="F2000" s="0" t="s">
        <v>3345</v>
      </c>
      <c r="G2000" s="0" t="s">
        <v>3346</v>
      </c>
      <c r="H2000" s="3">
        <v>0</v>
      </c>
    </row>
    <row r="2001">
      <c r="A2001" s="0" t="s">
        <v>3665</v>
      </c>
      <c r="B2001" s="0" t="s">
        <v>3512</v>
      </c>
      <c r="C2001" s="5">
        <f>=HYPERLINK("https://nusmods.com/modules/LL6276#timetable","Timetable")</f>
      </c>
      <c r="D2001" s="5"/>
      <c r="E2001" s="5">
        <f>=HYPERLINK("https://luminus.nus.edu.sg/modules/6d5dbb3e-4179-4b31-8737-3fbea4737538","LumiNUS course site")</f>
      </c>
      <c r="F2001" s="0" t="s">
        <v>3345</v>
      </c>
      <c r="G2001" s="0" t="s">
        <v>3346</v>
      </c>
      <c r="H2001" s="3">
        <v>0</v>
      </c>
    </row>
    <row r="2002">
      <c r="A2002" s="0" t="s">
        <v>3666</v>
      </c>
      <c r="B2002" s="0" t="s">
        <v>3399</v>
      </c>
      <c r="C2002" s="5">
        <f>=HYPERLINK("https://nusmods.com/modules/LL6285V#timetable","Timetable")</f>
      </c>
      <c r="D2002" s="5"/>
      <c r="E2002" s="5">
        <f>=HYPERLINK("https://luminus.nus.edu.sg/modules/c1367b3f-f120-4f9c-a8ad-d6cb3415464b","LumiNUS course site")</f>
      </c>
      <c r="F2002" s="0" t="s">
        <v>3345</v>
      </c>
      <c r="G2002" s="0" t="s">
        <v>3346</v>
      </c>
      <c r="H2002" s="3">
        <v>0</v>
      </c>
    </row>
    <row r="2003">
      <c r="A2003" s="0" t="s">
        <v>3667</v>
      </c>
      <c r="B2003" s="0" t="s">
        <v>3515</v>
      </c>
      <c r="C2003" s="5">
        <f>=HYPERLINK("https://nusmods.com/modules/LL6287V#timetable","Timetable")</f>
      </c>
      <c r="D2003" s="5"/>
      <c r="E2003" s="5">
        <f>=HYPERLINK("https://luminus.nus.edu.sg/modules/ef03fb74-bef7-4d08-ad5a-5293062ed0b9","LumiNUS course site")</f>
      </c>
      <c r="F2003" s="0" t="s">
        <v>3345</v>
      </c>
      <c r="G2003" s="0" t="s">
        <v>3346</v>
      </c>
      <c r="H2003" s="3">
        <v>0</v>
      </c>
    </row>
    <row r="2004">
      <c r="A2004" s="0" t="s">
        <v>3668</v>
      </c>
      <c r="B2004" s="0" t="s">
        <v>3517</v>
      </c>
      <c r="C2004" s="5">
        <f>=HYPERLINK("https://nusmods.com/modules/LL6292V#timetable","Timetable")</f>
      </c>
      <c r="D2004" s="5"/>
      <c r="E2004" s="5">
        <f>=HYPERLINK("https://luminus.nus.edu.sg/modules/40ff165c-8f07-4d1f-a31c-b4359971eca8","LumiNUS course site")</f>
      </c>
      <c r="F2004" s="0" t="s">
        <v>3345</v>
      </c>
      <c r="G2004" s="0" t="s">
        <v>3346</v>
      </c>
      <c r="H2004" s="3">
        <v>0</v>
      </c>
    </row>
    <row r="2005">
      <c r="A2005" s="0" t="s">
        <v>3669</v>
      </c>
      <c r="B2005" s="0" t="s">
        <v>3519</v>
      </c>
      <c r="C2005" s="5">
        <f>=HYPERLINK("https://nusmods.com/modules/LL6320#timetable","Timetable")</f>
      </c>
      <c r="D2005" s="5"/>
      <c r="E2005" s="5">
        <f>=HYPERLINK("https://luminus.nus.edu.sg/modules/9db85b18-c86e-41e2-a3ba-ae49bf653d02","LumiNUS course site")</f>
      </c>
      <c r="F2005" s="0" t="s">
        <v>3345</v>
      </c>
      <c r="G2005" s="0" t="s">
        <v>3346</v>
      </c>
      <c r="H2005" s="3">
        <v>0</v>
      </c>
    </row>
    <row r="2006">
      <c r="A2006" s="0" t="s">
        <v>3670</v>
      </c>
      <c r="B2006" s="0" t="s">
        <v>3521</v>
      </c>
      <c r="C2006" s="5">
        <f>=HYPERLINK("https://nusmods.com/modules/LL6322V#timetable","Timetable")</f>
      </c>
      <c r="D2006" s="5"/>
      <c r="E2006" s="5">
        <f>=HYPERLINK("https://luminus.nus.edu.sg/modules/f9c9dde1-9e85-491b-9ebc-b1db64011c55","LumiNUS course site")</f>
      </c>
      <c r="F2006" s="0" t="s">
        <v>3345</v>
      </c>
      <c r="G2006" s="0" t="s">
        <v>3346</v>
      </c>
      <c r="H2006" s="3">
        <v>0</v>
      </c>
    </row>
    <row r="2007">
      <c r="A2007" s="0" t="s">
        <v>3671</v>
      </c>
      <c r="B2007" s="0" t="s">
        <v>3523</v>
      </c>
      <c r="C2007" s="5">
        <f>=HYPERLINK("https://nusmods.com/modules/LL6328#timetable","Timetable")</f>
      </c>
      <c r="D2007" s="5"/>
      <c r="E2007" s="5">
        <f>=HYPERLINK("https://luminus.nus.edu.sg/modules/e89a0b57-4218-479b-a303-ba21cba1d4e0","LumiNUS course site")</f>
      </c>
      <c r="F2007" s="0" t="s">
        <v>3345</v>
      </c>
      <c r="G2007" s="0" t="s">
        <v>3346</v>
      </c>
      <c r="H2007" s="3">
        <v>0</v>
      </c>
    </row>
    <row r="2008">
      <c r="A2008" s="0" t="s">
        <v>3672</v>
      </c>
      <c r="B2008" s="0" t="s">
        <v>3525</v>
      </c>
      <c r="C2008" s="5">
        <f>=HYPERLINK("https://nusmods.com/modules/LL6335V#timetable","Timetable")</f>
      </c>
      <c r="D2008" s="5"/>
      <c r="E2008" s="5">
        <f>=HYPERLINK("https://luminus.nus.edu.sg/modules/0c1fc728-9f7a-440d-8cb1-0cbfe3523aeb","LumiNUS course site")</f>
      </c>
      <c r="F2008" s="0" t="s">
        <v>3345</v>
      </c>
      <c r="G2008" s="0" t="s">
        <v>3346</v>
      </c>
      <c r="H2008" s="3">
        <v>0</v>
      </c>
    </row>
    <row r="2009">
      <c r="A2009" s="0" t="s">
        <v>3673</v>
      </c>
      <c r="B2009" s="0" t="s">
        <v>3527</v>
      </c>
      <c r="C2009" s="5">
        <f>=HYPERLINK("https://nusmods.com/modules/LL6342V#timetable","Timetable")</f>
      </c>
      <c r="D2009" s="5"/>
      <c r="E2009" s="5">
        <f>=HYPERLINK("https://luminus.nus.edu.sg/modules/66269360-d904-4c0d-852f-4c004ad06f59","LumiNUS course site")</f>
      </c>
      <c r="F2009" s="0" t="s">
        <v>3345</v>
      </c>
      <c r="G2009" s="0" t="s">
        <v>3346</v>
      </c>
      <c r="H2009" s="3">
        <v>0</v>
      </c>
    </row>
    <row r="2010">
      <c r="A2010" s="0" t="s">
        <v>3674</v>
      </c>
      <c r="B2010" s="0" t="s">
        <v>3529</v>
      </c>
      <c r="C2010" s="5">
        <f>=HYPERLINK("https://nusmods.com/modules/LL6359Z#timetable","Timetable")</f>
      </c>
      <c r="D2010" s="5"/>
      <c r="E2010" s="5">
        <f>=HYPERLINK("https://luminus.nus.edu.sg/modules/036553f9-f780-4f66-a349-35486ff9ad96","LumiNUS course site")</f>
      </c>
      <c r="F2010" s="0" t="s">
        <v>3345</v>
      </c>
      <c r="G2010" s="0" t="s">
        <v>3346</v>
      </c>
      <c r="H2010" s="3">
        <v>0</v>
      </c>
    </row>
    <row r="2011">
      <c r="A2011" s="0" t="s">
        <v>3675</v>
      </c>
      <c r="B2011" s="0" t="s">
        <v>3531</v>
      </c>
      <c r="C2011" s="5">
        <f>=HYPERLINK("https://nusmods.com/modules/LL6382V#timetable","Timetable")</f>
      </c>
      <c r="D2011" s="5"/>
      <c r="E2011" s="5">
        <f>=HYPERLINK("https://luminus.nus.edu.sg/modules/e58edecb-c8ec-454e-9dc0-85423c3dcc67","LumiNUS course site")</f>
      </c>
      <c r="F2011" s="0" t="s">
        <v>3345</v>
      </c>
      <c r="G2011" s="0" t="s">
        <v>3346</v>
      </c>
      <c r="H2011" s="3">
        <v>0</v>
      </c>
    </row>
    <row r="2012">
      <c r="A2012" s="0" t="s">
        <v>3676</v>
      </c>
      <c r="B2012" s="0" t="s">
        <v>3533</v>
      </c>
      <c r="C2012" s="5">
        <f>=HYPERLINK("https://nusmods.com/modules/LL6383Z#timetable","Timetable")</f>
      </c>
      <c r="D2012" s="5"/>
      <c r="E2012" s="5">
        <f>=HYPERLINK("https://luminus.nus.edu.sg/modules/aa55e152-c95c-48b1-bd25-40d4aa2dd269","LumiNUS course site")</f>
      </c>
      <c r="F2012" s="0" t="s">
        <v>3345</v>
      </c>
      <c r="G2012" s="0" t="s">
        <v>3346</v>
      </c>
      <c r="H2012" s="3">
        <v>0</v>
      </c>
    </row>
    <row r="2013">
      <c r="A2013" s="0" t="s">
        <v>3677</v>
      </c>
      <c r="B2013" s="0" t="s">
        <v>3612</v>
      </c>
      <c r="C2013" s="5">
        <f>=HYPERLINK("https://nusmods.com/modules/LL6396#timetable","Timetable")</f>
      </c>
      <c r="D2013" s="5"/>
      <c r="E2013" s="5"/>
      <c r="F2013" s="0" t="s">
        <v>3345</v>
      </c>
      <c r="G2013" s="0" t="s">
        <v>3346</v>
      </c>
      <c r="H2013" s="3">
        <v>0</v>
      </c>
    </row>
    <row r="2014">
      <c r="A2014" s="0" t="s">
        <v>3678</v>
      </c>
      <c r="B2014" s="0" t="s">
        <v>3679</v>
      </c>
      <c r="C2014" s="5">
        <f>=HYPERLINK("https://nusmods.com/modules/LL6397#timetable","Timetable")</f>
      </c>
      <c r="D2014" s="5"/>
      <c r="E2014" s="5"/>
      <c r="F2014" s="0" t="s">
        <v>3345</v>
      </c>
      <c r="G2014" s="0" t="s">
        <v>3346</v>
      </c>
      <c r="H2014" s="3">
        <v>0</v>
      </c>
    </row>
    <row r="2015">
      <c r="A2015" s="0" t="s">
        <v>3680</v>
      </c>
      <c r="B2015" s="0" t="s">
        <v>3405</v>
      </c>
      <c r="C2015" s="5">
        <f>=HYPERLINK("https://nusmods.com/modules/LL6405A#timetable","Timetable")</f>
      </c>
      <c r="D2015" s="5"/>
      <c r="E2015" s="5"/>
      <c r="F2015" s="0" t="s">
        <v>3345</v>
      </c>
      <c r="G2015" s="0" t="s">
        <v>3346</v>
      </c>
      <c r="H2015" s="3">
        <v>0</v>
      </c>
    </row>
    <row r="2016">
      <c r="A2016" s="0" t="s">
        <v>3681</v>
      </c>
      <c r="B2016" s="0" t="s">
        <v>3540</v>
      </c>
      <c r="C2016" s="5">
        <f>=HYPERLINK("https://nusmods.com/modules/LL6407#timetable","Timetable")</f>
      </c>
      <c r="D2016" s="5"/>
      <c r="E2016" s="5">
        <f>=HYPERLINK("https://luminus.nus.edu.sg/modules/712d31c9-b2a2-4d4b-a67c-aa2b38044977","LumiNUS course site")</f>
      </c>
      <c r="F2016" s="0" t="s">
        <v>3345</v>
      </c>
      <c r="G2016" s="0" t="s">
        <v>3346</v>
      </c>
      <c r="H2016" s="3">
        <v>0</v>
      </c>
    </row>
    <row r="2017">
      <c r="A2017" s="0" t="s">
        <v>3682</v>
      </c>
      <c r="B2017" s="0" t="s">
        <v>3542</v>
      </c>
      <c r="C2017" s="5">
        <f>=HYPERLINK("https://nusmods.com/modules/LL6433V#timetable","Timetable")</f>
      </c>
      <c r="D2017" s="5"/>
      <c r="E2017" s="5">
        <f>=HYPERLINK("https://luminus.nus.edu.sg/modules/897baf17-5b09-47a7-9202-ef66c2a775fe","LumiNUS course site")</f>
      </c>
      <c r="F2017" s="0" t="s">
        <v>3345</v>
      </c>
      <c r="G2017" s="0" t="s">
        <v>3346</v>
      </c>
      <c r="H2017" s="3">
        <v>0</v>
      </c>
    </row>
    <row r="2018">
      <c r="A2018" s="0" t="s">
        <v>3683</v>
      </c>
      <c r="B2018" s="0" t="s">
        <v>3544</v>
      </c>
      <c r="C2018" s="5">
        <f>=HYPERLINK("https://nusmods.com/modules/LL6436V#timetable","Timetable")</f>
      </c>
      <c r="D2018" s="5"/>
      <c r="E2018" s="5">
        <f>=HYPERLINK("https://luminus.nus.edu.sg/modules/16332bb2-3a04-4642-a55f-4d95165cd40e","LumiNUS course site")</f>
      </c>
      <c r="F2018" s="0" t="s">
        <v>3345</v>
      </c>
      <c r="G2018" s="0" t="s">
        <v>3346</v>
      </c>
      <c r="H2018" s="3">
        <v>0</v>
      </c>
    </row>
    <row r="2019">
      <c r="A2019" s="0" t="s">
        <v>3684</v>
      </c>
      <c r="B2019" s="0" t="s">
        <v>3546</v>
      </c>
      <c r="C2019" s="5">
        <f>=HYPERLINK("https://nusmods.com/modules/LL6454V#timetable","Timetable")</f>
      </c>
      <c r="D2019" s="5"/>
      <c r="E2019" s="5">
        <f>=HYPERLINK("https://luminus.nus.edu.sg/modules/2fc1f70a-57e6-4caf-b678-fc1b1253d8c4","LumiNUS course site")</f>
      </c>
      <c r="F2019" s="0" t="s">
        <v>3345</v>
      </c>
      <c r="G2019" s="0" t="s">
        <v>3346</v>
      </c>
      <c r="H2019" s="3">
        <v>0</v>
      </c>
    </row>
    <row r="2020">
      <c r="A2020" s="0" t="s">
        <v>3685</v>
      </c>
      <c r="B2020" s="0" t="s">
        <v>3548</v>
      </c>
      <c r="C2020" s="5">
        <f>=HYPERLINK("https://nusmods.com/modules/LL6463V#timetable","Timetable")</f>
      </c>
      <c r="D2020" s="5"/>
      <c r="E2020" s="5"/>
      <c r="F2020" s="0" t="s">
        <v>3345</v>
      </c>
      <c r="G2020" s="0" t="s">
        <v>3346</v>
      </c>
      <c r="H2020" s="3">
        <v>0</v>
      </c>
    </row>
    <row r="2021">
      <c r="A2021" s="0" t="s">
        <v>3686</v>
      </c>
      <c r="B2021" s="0" t="s">
        <v>3550</v>
      </c>
      <c r="C2021" s="5">
        <f>=HYPERLINK("https://nusmods.com/modules/LL6464#timetable","Timetable")</f>
      </c>
      <c r="D2021" s="5"/>
      <c r="E2021" s="5">
        <f>=HYPERLINK("https://luminus.nus.edu.sg/modules/57d19b71-5326-4fff-8f2f-2923cc344b2d","LumiNUS course site")</f>
      </c>
      <c r="F2021" s="0" t="s">
        <v>3345</v>
      </c>
      <c r="G2021" s="0" t="s">
        <v>3346</v>
      </c>
      <c r="H2021" s="3">
        <v>0</v>
      </c>
    </row>
    <row r="2022">
      <c r="A2022" s="0" t="s">
        <v>3687</v>
      </c>
      <c r="B2022" s="0" t="s">
        <v>3552</v>
      </c>
      <c r="C2022" s="5">
        <f>=HYPERLINK("https://nusmods.com/modules/LL6465#timetable","Timetable")</f>
      </c>
      <c r="D2022" s="5"/>
      <c r="E2022" s="5">
        <f>=HYPERLINK("https://luminus.nus.edu.sg/modules/fa25d1f6-9e45-438b-811a-cbbb13a2d3c3","LumiNUS course site")</f>
      </c>
      <c r="F2022" s="0" t="s">
        <v>3345</v>
      </c>
      <c r="G2022" s="0" t="s">
        <v>3346</v>
      </c>
      <c r="H2022" s="3">
        <v>0</v>
      </c>
    </row>
    <row r="2023">
      <c r="A2023" s="0" t="s">
        <v>3688</v>
      </c>
      <c r="B2023" s="0" t="s">
        <v>3554</v>
      </c>
      <c r="C2023" s="5">
        <f>=HYPERLINK("https://nusmods.com/modules/LL6471#timetable","Timetable")</f>
      </c>
      <c r="D2023" s="5"/>
      <c r="E2023" s="5">
        <f>=HYPERLINK("https://luminus.nus.edu.sg/modules/a5470b27-cacf-4762-a2ed-893d839691de","LumiNUS course site")</f>
      </c>
      <c r="F2023" s="0" t="s">
        <v>3345</v>
      </c>
      <c r="G2023" s="0" t="s">
        <v>3346</v>
      </c>
      <c r="H2023" s="3">
        <v>0</v>
      </c>
    </row>
    <row r="2024">
      <c r="A2024" s="0" t="s">
        <v>3689</v>
      </c>
      <c r="B2024" s="0" t="s">
        <v>3556</v>
      </c>
      <c r="C2024" s="5">
        <f>=HYPERLINK("https://nusmods.com/modules/LL6472#timetable","Timetable")</f>
      </c>
      <c r="D2024" s="5"/>
      <c r="E2024" s="5">
        <f>=HYPERLINK("https://luminus.nus.edu.sg/modules/3eb89951-a0ff-487b-914f-53ddbbe0d0b7","LumiNUS course site")</f>
      </c>
      <c r="F2024" s="0" t="s">
        <v>3345</v>
      </c>
      <c r="G2024" s="0" t="s">
        <v>3346</v>
      </c>
      <c r="H2024" s="3">
        <v>0</v>
      </c>
    </row>
    <row r="2025">
      <c r="A2025" s="0" t="s">
        <v>3690</v>
      </c>
      <c r="B2025" s="0" t="s">
        <v>3558</v>
      </c>
      <c r="C2025" s="5">
        <f>=HYPERLINK("https://nusmods.com/modules/LL6473#timetable","Timetable")</f>
      </c>
      <c r="D2025" s="5"/>
      <c r="E2025" s="5">
        <f>=HYPERLINK("https://luminus.nus.edu.sg/modules/24d35521-af8b-4cc1-bfeb-80ebd95e1038","LumiNUS course site")</f>
      </c>
      <c r="F2025" s="0" t="s">
        <v>3345</v>
      </c>
      <c r="G2025" s="0" t="s">
        <v>3346</v>
      </c>
      <c r="H2025" s="3">
        <v>0</v>
      </c>
    </row>
    <row r="2026">
      <c r="A2026" s="0" t="s">
        <v>3691</v>
      </c>
      <c r="B2026" s="0" t="s">
        <v>3560</v>
      </c>
      <c r="C2026" s="5">
        <f>=HYPERLINK("https://nusmods.com/modules/LL6474#timetable","Timetable")</f>
      </c>
      <c r="D2026" s="5"/>
      <c r="E2026" s="5">
        <f>=HYPERLINK("https://luminus.nus.edu.sg/modules/46ce588c-f723-4fb7-a4e7-ac0a95b5ed1c","LumiNUS course site")</f>
      </c>
      <c r="F2026" s="0" t="s">
        <v>3345</v>
      </c>
      <c r="G2026" s="0" t="s">
        <v>3346</v>
      </c>
      <c r="H2026" s="3">
        <v>0</v>
      </c>
    </row>
    <row r="2027">
      <c r="A2027" s="0" t="s">
        <v>3692</v>
      </c>
      <c r="B2027" s="0" t="s">
        <v>3562</v>
      </c>
      <c r="C2027" s="5">
        <f>=HYPERLINK("https://nusmods.com/modules/LL6475V#timetable","Timetable")</f>
      </c>
      <c r="D2027" s="5"/>
      <c r="E2027" s="5">
        <f>=HYPERLINK("https://luminus.nus.edu.sg/modules/c2854abd-1f83-49f7-a56f-85593f1b24d9","LumiNUS course site")</f>
      </c>
      <c r="F2027" s="0" t="s">
        <v>3345</v>
      </c>
      <c r="G2027" s="0" t="s">
        <v>3346</v>
      </c>
      <c r="H2027" s="3">
        <v>0</v>
      </c>
    </row>
    <row r="2028">
      <c r="A2028" s="0" t="s">
        <v>3693</v>
      </c>
      <c r="B2028" s="0" t="s">
        <v>3438</v>
      </c>
      <c r="C2028" s="5">
        <f>=HYPERLINK("https://nusmods.com/modules/LLD5002V#timetable","Timetable")</f>
      </c>
      <c r="D2028" s="5"/>
      <c r="E2028" s="5">
        <f>=HYPERLINK("https://luminus.nus.edu.sg/modules/89da07be-fb07-484b-822b-b8f06b82186e","LumiNUS course site")</f>
      </c>
      <c r="F2028" s="0" t="s">
        <v>3345</v>
      </c>
      <c r="G2028" s="0" t="s">
        <v>3346</v>
      </c>
      <c r="H2028" s="3">
        <v>8</v>
      </c>
    </row>
    <row r="2029">
      <c r="A2029" s="0" t="s">
        <v>3694</v>
      </c>
      <c r="B2029" s="0" t="s">
        <v>3502</v>
      </c>
      <c r="C2029" s="5">
        <f>=HYPERLINK("https://nusmods.com/modules/LLD5214#timetable","Timetable")</f>
      </c>
      <c r="D2029" s="5"/>
      <c r="E2029" s="5">
        <f>=HYPERLINK("https://luminus.nus.edu.sg/modules/6ef27d87-81d1-4ffd-88c6-9cce480b3775","LumiNUS course site")</f>
      </c>
      <c r="F2029" s="0" t="s">
        <v>3345</v>
      </c>
      <c r="G2029" s="0" t="s">
        <v>3346</v>
      </c>
      <c r="H2029" s="3">
        <v>3</v>
      </c>
    </row>
    <row r="2030">
      <c r="A2030" s="0" t="s">
        <v>3695</v>
      </c>
      <c r="B2030" s="0" t="s">
        <v>3521</v>
      </c>
      <c r="C2030" s="5">
        <f>=HYPERLINK("https://nusmods.com/modules/LLD5322V#timetable","Timetable")</f>
      </c>
      <c r="D2030" s="5"/>
      <c r="E2030" s="5">
        <f>=HYPERLINK("https://luminus.nus.edu.sg/modules/f9c9dde1-9e85-491b-9ebc-b1db64011c55","LumiNUS course site")</f>
      </c>
      <c r="F2030" s="0" t="s">
        <v>3345</v>
      </c>
      <c r="G2030" s="0" t="s">
        <v>3346</v>
      </c>
      <c r="H2030" s="3">
        <v>3</v>
      </c>
    </row>
    <row r="2031">
      <c r="A2031" s="0" t="s">
        <v>3696</v>
      </c>
      <c r="B2031" s="0" t="s">
        <v>3612</v>
      </c>
      <c r="C2031" s="5">
        <f>=HYPERLINK("https://nusmods.com/modules/LLD5396#timetable","Timetable")</f>
      </c>
      <c r="D2031" s="5"/>
      <c r="E2031" s="5"/>
      <c r="F2031" s="0" t="s">
        <v>3345</v>
      </c>
      <c r="G2031" s="0" t="s">
        <v>3346</v>
      </c>
      <c r="H2031" s="3">
        <v>0</v>
      </c>
    </row>
    <row r="2032">
      <c r="A2032" s="0" t="s">
        <v>3697</v>
      </c>
      <c r="B2032" s="0" t="s">
        <v>3612</v>
      </c>
      <c r="C2032" s="5">
        <f>=HYPERLINK("https://nusmods.com/modules/LLD5397#timetable","Timetable")</f>
      </c>
      <c r="D2032" s="5"/>
      <c r="E2032" s="5"/>
      <c r="F2032" s="0" t="s">
        <v>3345</v>
      </c>
      <c r="G2032" s="0" t="s">
        <v>3346</v>
      </c>
      <c r="H2032" s="3">
        <v>0</v>
      </c>
    </row>
    <row r="2033">
      <c r="A2033" s="0" t="s">
        <v>3698</v>
      </c>
      <c r="B2033" s="0" t="s">
        <v>3550</v>
      </c>
      <c r="C2033" s="5">
        <f>=HYPERLINK("https://nusmods.com/modules/LLD5464#timetable","Timetable")</f>
      </c>
      <c r="D2033" s="5"/>
      <c r="E2033" s="5">
        <f>=HYPERLINK("https://luminus.nus.edu.sg/modules/57d19b71-5326-4fff-8f2f-2923cc344b2d","LumiNUS course site")</f>
      </c>
      <c r="F2033" s="0" t="s">
        <v>3345</v>
      </c>
      <c r="G2033" s="0" t="s">
        <v>3346</v>
      </c>
      <c r="H2033" s="3">
        <v>4</v>
      </c>
    </row>
    <row r="2034">
      <c r="A2034" s="0" t="s">
        <v>3699</v>
      </c>
      <c r="B2034" s="0" t="s">
        <v>3438</v>
      </c>
      <c r="C2034" s="5">
        <f>=HYPERLINK("https://nusmods.com/modules/LLJ5002V#timetable","Timetable")</f>
      </c>
      <c r="D2034" s="5"/>
      <c r="E2034" s="5">
        <f>=HYPERLINK("https://luminus.nus.edu.sg/modules/89da07be-fb07-484b-822b-b8f06b82186e","LumiNUS course site")</f>
      </c>
      <c r="F2034" s="0" t="s">
        <v>3345</v>
      </c>
      <c r="G2034" s="0" t="s">
        <v>3346</v>
      </c>
      <c r="H2034" s="3">
        <v>0</v>
      </c>
    </row>
    <row r="2035">
      <c r="A2035" s="0" t="s">
        <v>3700</v>
      </c>
      <c r="B2035" s="0" t="s">
        <v>3440</v>
      </c>
      <c r="C2035" s="5">
        <f>=HYPERLINK("https://nusmods.com/modules/LLJ5004V#timetable","Timetable")</f>
      </c>
      <c r="D2035" s="5"/>
      <c r="E2035" s="5"/>
      <c r="F2035" s="0" t="s">
        <v>3345</v>
      </c>
      <c r="G2035" s="0" t="s">
        <v>3346</v>
      </c>
      <c r="H2035" s="3">
        <v>0</v>
      </c>
    </row>
    <row r="2036">
      <c r="A2036" s="0" t="s">
        <v>3701</v>
      </c>
      <c r="B2036" s="0" t="s">
        <v>3442</v>
      </c>
      <c r="C2036" s="5">
        <f>=HYPERLINK("https://nusmods.com/modules/LLJ5006V#timetable","Timetable")</f>
      </c>
      <c r="D2036" s="5"/>
      <c r="E2036" s="5">
        <f>=HYPERLINK("https://luminus.nus.edu.sg/modules/ca31edb1-db22-4568-80d5-4843f77fde68","LumiNUS course site")</f>
      </c>
      <c r="F2036" s="0" t="s">
        <v>3345</v>
      </c>
      <c r="G2036" s="0" t="s">
        <v>3346</v>
      </c>
      <c r="H2036" s="3">
        <v>0</v>
      </c>
    </row>
    <row r="2037">
      <c r="A2037" s="0" t="s">
        <v>3702</v>
      </c>
      <c r="B2037" s="0" t="s">
        <v>3567</v>
      </c>
      <c r="C2037" s="5">
        <f>=HYPERLINK("https://nusmods.com/modules/LLJ5007#timetable","Timetable")</f>
      </c>
      <c r="D2037" s="5"/>
      <c r="E2037" s="5">
        <f>=HYPERLINK("https://luminus.nus.edu.sg/modules/e0c56f4f-14e4-4e59-b81a-cc80ebbd6131","LumiNUS course site")</f>
      </c>
      <c r="F2037" s="0" t="s">
        <v>3345</v>
      </c>
      <c r="G2037" s="0" t="s">
        <v>3346</v>
      </c>
      <c r="H2037" s="3">
        <v>0</v>
      </c>
    </row>
    <row r="2038">
      <c r="A2038" s="0" t="s">
        <v>3703</v>
      </c>
      <c r="B2038" s="0" t="s">
        <v>3393</v>
      </c>
      <c r="C2038" s="5">
        <f>=HYPERLINK("https://nusmods.com/modules/LLJ5008AV#timetable","Timetable")</f>
      </c>
      <c r="D2038" s="5"/>
      <c r="E2038" s="5"/>
      <c r="F2038" s="0" t="s">
        <v>3345</v>
      </c>
      <c r="G2038" s="0" t="s">
        <v>3346</v>
      </c>
      <c r="H2038" s="3">
        <v>0</v>
      </c>
    </row>
    <row r="2039">
      <c r="A2039" s="0" t="s">
        <v>3704</v>
      </c>
      <c r="B2039" s="0" t="s">
        <v>3447</v>
      </c>
      <c r="C2039" s="5">
        <f>=HYPERLINK("https://nusmods.com/modules/LLJ5009V#timetable","Timetable")</f>
      </c>
      <c r="D2039" s="5"/>
      <c r="E2039" s="5">
        <f>=HYPERLINK("https://luminus.nus.edu.sg/modules/23d2a4a3-6749-4ea2-86ca-6d81b31bf858","LumiNUS course site")</f>
      </c>
      <c r="F2039" s="0" t="s">
        <v>3345</v>
      </c>
      <c r="G2039" s="0" t="s">
        <v>3346</v>
      </c>
      <c r="H2039" s="3">
        <v>2</v>
      </c>
    </row>
    <row r="2040">
      <c r="A2040" s="0" t="s">
        <v>3705</v>
      </c>
      <c r="B2040" s="0" t="s">
        <v>3449</v>
      </c>
      <c r="C2040" s="5">
        <f>=HYPERLINK("https://nusmods.com/modules/LLJ5019V#timetable","Timetable")</f>
      </c>
      <c r="D2040" s="5"/>
      <c r="E2040" s="5"/>
      <c r="F2040" s="0" t="s">
        <v>3345</v>
      </c>
      <c r="G2040" s="0" t="s">
        <v>3346</v>
      </c>
      <c r="H2040" s="3">
        <v>0</v>
      </c>
    </row>
    <row r="2041">
      <c r="A2041" s="0" t="s">
        <v>3706</v>
      </c>
      <c r="B2041" s="0" t="s">
        <v>3397</v>
      </c>
      <c r="C2041" s="5">
        <f>=HYPERLINK("https://nusmods.com/modules/LLJ5029V#timetable","Timetable")</f>
      </c>
      <c r="D2041" s="5"/>
      <c r="E2041" s="5"/>
      <c r="F2041" s="0" t="s">
        <v>3345</v>
      </c>
      <c r="G2041" s="0" t="s">
        <v>3346</v>
      </c>
      <c r="H2041" s="3">
        <v>0</v>
      </c>
    </row>
    <row r="2042">
      <c r="A2042" s="0" t="s">
        <v>3707</v>
      </c>
      <c r="B2042" s="0" t="s">
        <v>3453</v>
      </c>
      <c r="C2042" s="5">
        <f>=HYPERLINK("https://nusmods.com/modules/LLJ5031V#timetable","Timetable")</f>
      </c>
      <c r="D2042" s="5"/>
      <c r="E2042" s="5">
        <f>=HYPERLINK("https://luminus.nus.edu.sg/modules/d765a248-1c87-4268-aae4-9c07f3c86856","LumiNUS course site")</f>
      </c>
      <c r="F2042" s="0" t="s">
        <v>3345</v>
      </c>
      <c r="G2042" s="0" t="s">
        <v>3346</v>
      </c>
      <c r="H2042" s="3">
        <v>0</v>
      </c>
    </row>
    <row r="2043">
      <c r="A2043" s="0" t="s">
        <v>3708</v>
      </c>
      <c r="B2043" s="0" t="s">
        <v>3576</v>
      </c>
      <c r="C2043" s="5">
        <f>=HYPERLINK("https://nusmods.com/modules/LLJ5032#timetable","Timetable")</f>
      </c>
      <c r="D2043" s="5"/>
      <c r="E2043" s="5">
        <f>=HYPERLINK("https://luminus.nus.edu.sg/modules/83f0a696-c23a-44f7-b6fd-da5c77c8e107","LumiNUS course site")</f>
      </c>
      <c r="F2043" s="0" t="s">
        <v>3345</v>
      </c>
      <c r="G2043" s="0" t="s">
        <v>3346</v>
      </c>
      <c r="H2043" s="3">
        <v>0</v>
      </c>
    </row>
    <row r="2044">
      <c r="A2044" s="0" t="s">
        <v>3709</v>
      </c>
      <c r="B2044" s="0" t="s">
        <v>3457</v>
      </c>
      <c r="C2044" s="5">
        <f>=HYPERLINK("https://nusmods.com/modules/LLJ5033V#timetable","Timetable")</f>
      </c>
      <c r="D2044" s="5">
        <f>=HYPERLINK("https://canvas.nus.edu.sg/courses/22873","Canvas course site")</f>
      </c>
      <c r="E2044" s="5"/>
      <c r="F2044" s="0" t="s">
        <v>3345</v>
      </c>
      <c r="G2044" s="0" t="s">
        <v>3346</v>
      </c>
      <c r="H2044" s="3">
        <v>0</v>
      </c>
    </row>
    <row r="2045">
      <c r="A2045" s="0" t="s">
        <v>3710</v>
      </c>
      <c r="B2045" s="0" t="s">
        <v>3459</v>
      </c>
      <c r="C2045" s="5">
        <f>=HYPERLINK("https://nusmods.com/modules/LLJ5045V#timetable","Timetable")</f>
      </c>
      <c r="D2045" s="5"/>
      <c r="E2045" s="5"/>
      <c r="F2045" s="0" t="s">
        <v>3345</v>
      </c>
      <c r="G2045" s="0" t="s">
        <v>3346</v>
      </c>
      <c r="H2045" s="3">
        <v>0</v>
      </c>
    </row>
    <row r="2046">
      <c r="A2046" s="0" t="s">
        <v>3711</v>
      </c>
      <c r="B2046" s="0" t="s">
        <v>3389</v>
      </c>
      <c r="C2046" s="5">
        <f>=HYPERLINK("https://nusmods.com/modules/LLJ5050V#timetable","Timetable")</f>
      </c>
      <c r="D2046" s="5">
        <f>=HYPERLINK("https://canvas.nus.edu.sg/courses/22884","Canvas course site")</f>
      </c>
      <c r="E2046" s="5"/>
      <c r="F2046" s="0" t="s">
        <v>3345</v>
      </c>
      <c r="G2046" s="0" t="s">
        <v>3346</v>
      </c>
      <c r="H2046" s="3">
        <v>0</v>
      </c>
    </row>
    <row r="2047">
      <c r="A2047" s="0" t="s">
        <v>3712</v>
      </c>
      <c r="B2047" s="0" t="s">
        <v>3462</v>
      </c>
      <c r="C2047" s="5">
        <f>=HYPERLINK("https://nusmods.com/modules/LLJ5056BV#timetable","Timetable")</f>
      </c>
      <c r="D2047" s="5"/>
      <c r="E2047" s="5"/>
      <c r="F2047" s="0" t="s">
        <v>3345</v>
      </c>
      <c r="G2047" s="0" t="s">
        <v>3346</v>
      </c>
      <c r="H2047" s="3">
        <v>0</v>
      </c>
    </row>
    <row r="2048">
      <c r="A2048" s="0" t="s">
        <v>3713</v>
      </c>
      <c r="B2048" s="0" t="s">
        <v>3464</v>
      </c>
      <c r="C2048" s="5">
        <f>=HYPERLINK("https://nusmods.com/modules/LLJ5060B#timetable","Timetable")</f>
      </c>
      <c r="D2048" s="5"/>
      <c r="E2048" s="5"/>
      <c r="F2048" s="0" t="s">
        <v>3345</v>
      </c>
      <c r="G2048" s="0" t="s">
        <v>3346</v>
      </c>
      <c r="H2048" s="3">
        <v>0</v>
      </c>
    </row>
    <row r="2049">
      <c r="A2049" s="0" t="s">
        <v>3714</v>
      </c>
      <c r="B2049" s="0" t="s">
        <v>3466</v>
      </c>
      <c r="C2049" s="5">
        <f>=HYPERLINK("https://nusmods.com/modules/LLJ5063V#timetable","Timetable")</f>
      </c>
      <c r="D2049" s="5"/>
      <c r="E2049" s="5">
        <f>=HYPERLINK("https://luminus.nus.edu.sg/modules/02dcb538-7a3c-401d-be65-e6cbe33f3817","LumiNUS course site")</f>
      </c>
      <c r="F2049" s="0" t="s">
        <v>3345</v>
      </c>
      <c r="G2049" s="0" t="s">
        <v>3346</v>
      </c>
      <c r="H2049" s="3">
        <v>0</v>
      </c>
    </row>
    <row r="2050">
      <c r="A2050" s="0" t="s">
        <v>3715</v>
      </c>
      <c r="B2050" s="0" t="s">
        <v>3468</v>
      </c>
      <c r="C2050" s="5">
        <f>=HYPERLINK("https://nusmods.com/modules/LLJ5064V#timetable","Timetable")</f>
      </c>
      <c r="D2050" s="5">
        <f>=HYPERLINK("https://canvas.nus.edu.sg/courses/22905","Canvas course site")</f>
      </c>
      <c r="E2050" s="5"/>
      <c r="F2050" s="0" t="s">
        <v>3345</v>
      </c>
      <c r="G2050" s="0" t="s">
        <v>3346</v>
      </c>
      <c r="H2050" s="3">
        <v>0</v>
      </c>
    </row>
    <row r="2051">
      <c r="A2051" s="0" t="s">
        <v>3716</v>
      </c>
      <c r="B2051" s="0" t="s">
        <v>3391</v>
      </c>
      <c r="C2051" s="5">
        <f>=HYPERLINK("https://nusmods.com/modules/LLJ5070V#timetable","Timetable")</f>
      </c>
      <c r="D2051" s="5"/>
      <c r="E2051" s="5">
        <f>=HYPERLINK("https://luminus.nus.edu.sg/modules/4c83e850-ae3f-4c2c-ba18-8449e13740e6","LumiNUS course site")</f>
      </c>
      <c r="F2051" s="0" t="s">
        <v>3345</v>
      </c>
      <c r="G2051" s="0" t="s">
        <v>3346</v>
      </c>
      <c r="H2051" s="3">
        <v>0</v>
      </c>
    </row>
    <row r="2052">
      <c r="A2052" s="0" t="s">
        <v>3717</v>
      </c>
      <c r="B2052" s="0" t="s">
        <v>3471</v>
      </c>
      <c r="C2052" s="5">
        <f>=HYPERLINK("https://nusmods.com/modules/LLJ5073V#timetable","Timetable")</f>
      </c>
      <c r="D2052" s="5"/>
      <c r="E2052" s="5">
        <f>=HYPERLINK("https://luminus.nus.edu.sg/modules/50f2e36a-9b4d-4b74-b368-cb9c4ee6fc89","LumiNUS course site")</f>
      </c>
      <c r="F2052" s="0" t="s">
        <v>3345</v>
      </c>
      <c r="G2052" s="0" t="s">
        <v>3346</v>
      </c>
      <c r="H2052" s="3">
        <v>0</v>
      </c>
    </row>
    <row r="2053">
      <c r="A2053" s="0" t="s">
        <v>3718</v>
      </c>
      <c r="B2053" s="0" t="s">
        <v>3473</v>
      </c>
      <c r="C2053" s="5">
        <f>=HYPERLINK("https://nusmods.com/modules/LLJ5094AV#timetable","Timetable")</f>
      </c>
      <c r="D2053" s="5"/>
      <c r="E2053" s="5"/>
      <c r="F2053" s="0" t="s">
        <v>3345</v>
      </c>
      <c r="G2053" s="0" t="s">
        <v>3346</v>
      </c>
      <c r="H2053" s="3">
        <v>0</v>
      </c>
    </row>
    <row r="2054">
      <c r="A2054" s="0" t="s">
        <v>3719</v>
      </c>
      <c r="B2054" s="0" t="s">
        <v>3475</v>
      </c>
      <c r="C2054" s="5">
        <f>=HYPERLINK("https://nusmods.com/modules/LLJ5094BV#timetable","Timetable")</f>
      </c>
      <c r="D2054" s="5"/>
      <c r="E2054" s="5"/>
      <c r="F2054" s="0" t="s">
        <v>3345</v>
      </c>
      <c r="G2054" s="0" t="s">
        <v>3346</v>
      </c>
      <c r="H2054" s="3">
        <v>0</v>
      </c>
    </row>
    <row r="2055">
      <c r="A2055" s="0" t="s">
        <v>3720</v>
      </c>
      <c r="B2055" s="0" t="s">
        <v>3477</v>
      </c>
      <c r="C2055" s="5">
        <f>=HYPERLINK("https://nusmods.com/modules/LLJ5094CV#timetable","Timetable")</f>
      </c>
      <c r="D2055" s="5"/>
      <c r="E2055" s="5"/>
      <c r="F2055" s="0" t="s">
        <v>3345</v>
      </c>
      <c r="G2055" s="0" t="s">
        <v>3346</v>
      </c>
      <c r="H2055" s="3">
        <v>0</v>
      </c>
    </row>
    <row r="2056">
      <c r="A2056" s="0" t="s">
        <v>3721</v>
      </c>
      <c r="B2056" s="0" t="s">
        <v>3479</v>
      </c>
      <c r="C2056" s="5">
        <f>=HYPERLINK("https://nusmods.com/modules/LLJ5094DV#timetable","Timetable")</f>
      </c>
      <c r="D2056" s="5"/>
      <c r="E2056" s="5"/>
      <c r="F2056" s="0" t="s">
        <v>3345</v>
      </c>
      <c r="G2056" s="0" t="s">
        <v>3346</v>
      </c>
      <c r="H2056" s="3">
        <v>0</v>
      </c>
    </row>
    <row r="2057">
      <c r="A2057" s="0" t="s">
        <v>3722</v>
      </c>
      <c r="B2057" s="0" t="s">
        <v>3481</v>
      </c>
      <c r="C2057" s="5">
        <f>=HYPERLINK("https://nusmods.com/modules/LLJ5094EV#timetable","Timetable")</f>
      </c>
      <c r="D2057" s="5"/>
      <c r="E2057" s="5"/>
      <c r="F2057" s="0" t="s">
        <v>3345</v>
      </c>
      <c r="G2057" s="0" t="s">
        <v>3346</v>
      </c>
      <c r="H2057" s="3">
        <v>0</v>
      </c>
    </row>
    <row r="2058">
      <c r="A2058" s="0" t="s">
        <v>3723</v>
      </c>
      <c r="B2058" s="0" t="s">
        <v>3483</v>
      </c>
      <c r="C2058" s="5">
        <f>=HYPERLINK("https://nusmods.com/modules/LLJ5094FV#timetable","Timetable")</f>
      </c>
      <c r="D2058" s="5"/>
      <c r="E2058" s="5"/>
      <c r="F2058" s="0" t="s">
        <v>3345</v>
      </c>
      <c r="G2058" s="0" t="s">
        <v>3346</v>
      </c>
      <c r="H2058" s="3">
        <v>0</v>
      </c>
    </row>
    <row r="2059">
      <c r="A2059" s="0" t="s">
        <v>3724</v>
      </c>
      <c r="B2059" s="0" t="s">
        <v>3485</v>
      </c>
      <c r="C2059" s="5">
        <f>=HYPERLINK("https://nusmods.com/modules/LLJ5094GV#timetable","Timetable")</f>
      </c>
      <c r="D2059" s="5"/>
      <c r="E2059" s="5"/>
      <c r="F2059" s="0" t="s">
        <v>3345</v>
      </c>
      <c r="G2059" s="0" t="s">
        <v>3346</v>
      </c>
      <c r="H2059" s="3">
        <v>0</v>
      </c>
    </row>
    <row r="2060">
      <c r="A2060" s="0" t="s">
        <v>3725</v>
      </c>
      <c r="B2060" s="0" t="s">
        <v>3487</v>
      </c>
      <c r="C2060" s="5">
        <f>=HYPERLINK("https://nusmods.com/modules/LLJ5094V#timetable","Timetable")</f>
      </c>
      <c r="D2060" s="5"/>
      <c r="E2060" s="5"/>
      <c r="F2060" s="0" t="s">
        <v>3345</v>
      </c>
      <c r="G2060" s="0" t="s">
        <v>3346</v>
      </c>
      <c r="H2060" s="3">
        <v>0</v>
      </c>
    </row>
    <row r="2061">
      <c r="A2061" s="0" t="s">
        <v>3726</v>
      </c>
      <c r="B2061" s="0" t="s">
        <v>3489</v>
      </c>
      <c r="C2061" s="5">
        <f>=HYPERLINK("https://nusmods.com/modules/LLJ5109V#timetable","Timetable")</f>
      </c>
      <c r="D2061" s="5"/>
      <c r="E2061" s="5">
        <f>=HYPERLINK("https://luminus.nus.edu.sg/modules/e2d96eca-4df4-4180-93bf-896fbe1479f1","LumiNUS course site")</f>
      </c>
      <c r="F2061" s="0" t="s">
        <v>3345</v>
      </c>
      <c r="G2061" s="0" t="s">
        <v>3346</v>
      </c>
      <c r="H2061" s="3">
        <v>0</v>
      </c>
    </row>
    <row r="2062">
      <c r="A2062" s="0" t="s">
        <v>3727</v>
      </c>
      <c r="B2062" s="0" t="s">
        <v>3491</v>
      </c>
      <c r="C2062" s="5">
        <f>=HYPERLINK("https://nusmods.com/modules/LLJ5164V#timetable","Timetable")</f>
      </c>
      <c r="D2062" s="5"/>
      <c r="E2062" s="5">
        <f>=HYPERLINK("https://luminus.nus.edu.sg/modules/0231f07d-e953-488a-a387-75bf74ac2639","LumiNUS course site")</f>
      </c>
      <c r="F2062" s="0" t="s">
        <v>3345</v>
      </c>
      <c r="G2062" s="0" t="s">
        <v>3346</v>
      </c>
      <c r="H2062" s="3">
        <v>0</v>
      </c>
    </row>
    <row r="2063">
      <c r="A2063" s="0" t="s">
        <v>3728</v>
      </c>
      <c r="B2063" s="0" t="s">
        <v>3493</v>
      </c>
      <c r="C2063" s="5">
        <f>=HYPERLINK("https://nusmods.com/modules/LLJ5187#timetable","Timetable")</f>
      </c>
      <c r="D2063" s="5"/>
      <c r="E2063" s="5">
        <f>=HYPERLINK("https://luminus.nus.edu.sg/modules/fe971b8b-13e1-45d8-b2a3-c950f87949ba","LumiNUS course site")</f>
      </c>
      <c r="F2063" s="0" t="s">
        <v>3345</v>
      </c>
      <c r="G2063" s="0" t="s">
        <v>3346</v>
      </c>
      <c r="H2063" s="3">
        <v>0</v>
      </c>
    </row>
    <row r="2064">
      <c r="A2064" s="0" t="s">
        <v>3729</v>
      </c>
      <c r="B2064" s="0" t="s">
        <v>3495</v>
      </c>
      <c r="C2064" s="5">
        <f>=HYPERLINK("https://nusmods.com/modules/LLJ5191#timetable","Timetable")</f>
      </c>
      <c r="D2064" s="5"/>
      <c r="E2064" s="5">
        <f>=HYPERLINK("https://luminus.nus.edu.sg/modules/1d6edf7a-85ab-4d5d-9696-908e7f8e58a4","LumiNUS course site")</f>
      </c>
      <c r="F2064" s="0" t="s">
        <v>3345</v>
      </c>
      <c r="G2064" s="0" t="s">
        <v>3346</v>
      </c>
      <c r="H2064" s="3">
        <v>0</v>
      </c>
    </row>
    <row r="2065">
      <c r="A2065" s="0" t="s">
        <v>3730</v>
      </c>
      <c r="B2065" s="0" t="s">
        <v>3497</v>
      </c>
      <c r="C2065" s="5">
        <f>=HYPERLINK("https://nusmods.com/modules/LLJ5203#timetable","Timetable")</f>
      </c>
      <c r="D2065" s="5"/>
      <c r="E2065" s="5"/>
      <c r="F2065" s="0" t="s">
        <v>3345</v>
      </c>
      <c r="G2065" s="0" t="s">
        <v>3346</v>
      </c>
      <c r="H2065" s="3">
        <v>0</v>
      </c>
    </row>
    <row r="2066">
      <c r="A2066" s="0" t="s">
        <v>3731</v>
      </c>
      <c r="B2066" s="0" t="s">
        <v>3502</v>
      </c>
      <c r="C2066" s="5">
        <f>=HYPERLINK("https://nusmods.com/modules/LLJ5214#timetable","Timetable")</f>
      </c>
      <c r="D2066" s="5"/>
      <c r="E2066" s="5">
        <f>=HYPERLINK("https://luminus.nus.edu.sg/modules/6ef27d87-81d1-4ffd-88c6-9cce480b3775","LumiNUS course site")</f>
      </c>
      <c r="F2066" s="0" t="s">
        <v>3345</v>
      </c>
      <c r="G2066" s="0" t="s">
        <v>3346</v>
      </c>
      <c r="H2066" s="3">
        <v>0</v>
      </c>
    </row>
    <row r="2067">
      <c r="A2067" s="0" t="s">
        <v>3732</v>
      </c>
      <c r="B2067" s="0" t="s">
        <v>3504</v>
      </c>
      <c r="C2067" s="5">
        <f>=HYPERLINK("https://nusmods.com/modules/LLJ5219#timetable","Timetable")</f>
      </c>
      <c r="D2067" s="5"/>
      <c r="E2067" s="5">
        <f>=HYPERLINK("https://luminus.nus.edu.sg/modules/c9461efd-240f-4af7-b4b4-93d4feb8b622","LumiNUS course site")</f>
      </c>
      <c r="F2067" s="0" t="s">
        <v>3345</v>
      </c>
      <c r="G2067" s="0" t="s">
        <v>3346</v>
      </c>
      <c r="H2067" s="3">
        <v>0</v>
      </c>
    </row>
    <row r="2068">
      <c r="A2068" s="0" t="s">
        <v>3733</v>
      </c>
      <c r="B2068" s="0" t="s">
        <v>3506</v>
      </c>
      <c r="C2068" s="5">
        <f>=HYPERLINK("https://nusmods.com/modules/LLJ5237V#timetable","Timetable")</f>
      </c>
      <c r="D2068" s="5"/>
      <c r="E2068" s="5">
        <f>=HYPERLINK("https://luminus.nus.edu.sg/modules/cdb7c9f9-7177-4ef6-bb00-60ae7ba57c59","LumiNUS course site")</f>
      </c>
      <c r="F2068" s="0" t="s">
        <v>3345</v>
      </c>
      <c r="G2068" s="0" t="s">
        <v>3346</v>
      </c>
      <c r="H2068" s="3">
        <v>2</v>
      </c>
    </row>
    <row r="2069">
      <c r="A2069" s="0" t="s">
        <v>3734</v>
      </c>
      <c r="B2069" s="0" t="s">
        <v>3508</v>
      </c>
      <c r="C2069" s="5">
        <f>=HYPERLINK("https://nusmods.com/modules/LLJ5244V#timetable","Timetable")</f>
      </c>
      <c r="D2069" s="5"/>
      <c r="E2069" s="5"/>
      <c r="F2069" s="0" t="s">
        <v>3345</v>
      </c>
      <c r="G2069" s="0" t="s">
        <v>3346</v>
      </c>
      <c r="H2069" s="3">
        <v>0</v>
      </c>
    </row>
    <row r="2070">
      <c r="A2070" s="0" t="s">
        <v>3735</v>
      </c>
      <c r="B2070" s="0" t="s">
        <v>3510</v>
      </c>
      <c r="C2070" s="5">
        <f>=HYPERLINK("https://nusmods.com/modules/LLJ5251V#timetable","Timetable")</f>
      </c>
      <c r="D2070" s="5"/>
      <c r="E2070" s="5">
        <f>=HYPERLINK("https://luminus.nus.edu.sg/modules/f69d8dcf-29aa-40a6-9809-fcad20eaafe6","LumiNUS course site")</f>
      </c>
      <c r="F2070" s="0" t="s">
        <v>3345</v>
      </c>
      <c r="G2070" s="0" t="s">
        <v>3346</v>
      </c>
      <c r="H2070" s="3">
        <v>0</v>
      </c>
    </row>
    <row r="2071">
      <c r="A2071" s="0" t="s">
        <v>3736</v>
      </c>
      <c r="B2071" s="0" t="s">
        <v>3512</v>
      </c>
      <c r="C2071" s="5">
        <f>=HYPERLINK("https://nusmods.com/modules/LLJ5276#timetable","Timetable")</f>
      </c>
      <c r="D2071" s="5"/>
      <c r="E2071" s="5">
        <f>=HYPERLINK("https://luminus.nus.edu.sg/modules/6d5dbb3e-4179-4b31-8737-3fbea4737538","LumiNUS course site")</f>
      </c>
      <c r="F2071" s="0" t="s">
        <v>3345</v>
      </c>
      <c r="G2071" s="0" t="s">
        <v>3346</v>
      </c>
      <c r="H2071" s="3">
        <v>0</v>
      </c>
    </row>
    <row r="2072">
      <c r="A2072" s="0" t="s">
        <v>3737</v>
      </c>
      <c r="B2072" s="0" t="s">
        <v>3399</v>
      </c>
      <c r="C2072" s="5">
        <f>=HYPERLINK("https://nusmods.com/modules/LLJ5285V#timetable","Timetable")</f>
      </c>
      <c r="D2072" s="5"/>
      <c r="E2072" s="5">
        <f>=HYPERLINK("https://luminus.nus.edu.sg/modules/c1367b3f-f120-4f9c-a8ad-d6cb3415464b","LumiNUS course site")</f>
      </c>
      <c r="F2072" s="0" t="s">
        <v>3345</v>
      </c>
      <c r="G2072" s="0" t="s">
        <v>3346</v>
      </c>
      <c r="H2072" s="3">
        <v>0</v>
      </c>
    </row>
    <row r="2073">
      <c r="A2073" s="0" t="s">
        <v>3738</v>
      </c>
      <c r="B2073" s="0" t="s">
        <v>3515</v>
      </c>
      <c r="C2073" s="5">
        <f>=HYPERLINK("https://nusmods.com/modules/LLJ5287V#timetable","Timetable")</f>
      </c>
      <c r="D2073" s="5"/>
      <c r="E2073" s="5">
        <f>=HYPERLINK("https://luminus.nus.edu.sg/modules/ef03fb74-bef7-4d08-ad5a-5293062ed0b9","LumiNUS course site")</f>
      </c>
      <c r="F2073" s="0" t="s">
        <v>3345</v>
      </c>
      <c r="G2073" s="0" t="s">
        <v>3346</v>
      </c>
      <c r="H2073" s="3">
        <v>0</v>
      </c>
    </row>
    <row r="2074">
      <c r="A2074" s="0" t="s">
        <v>3739</v>
      </c>
      <c r="B2074" s="0" t="s">
        <v>3517</v>
      </c>
      <c r="C2074" s="5">
        <f>=HYPERLINK("https://nusmods.com/modules/LLJ5292V#timetable","Timetable")</f>
      </c>
      <c r="D2074" s="5"/>
      <c r="E2074" s="5">
        <f>=HYPERLINK("https://luminus.nus.edu.sg/modules/40ff165c-8f07-4d1f-a31c-b4359971eca8","LumiNUS course site")</f>
      </c>
      <c r="F2074" s="0" t="s">
        <v>3345</v>
      </c>
      <c r="G2074" s="0" t="s">
        <v>3346</v>
      </c>
      <c r="H2074" s="3">
        <v>0</v>
      </c>
    </row>
    <row r="2075">
      <c r="A2075" s="0" t="s">
        <v>3740</v>
      </c>
      <c r="B2075" s="0" t="s">
        <v>3519</v>
      </c>
      <c r="C2075" s="5">
        <f>=HYPERLINK("https://nusmods.com/modules/LLJ5320#timetable","Timetable")</f>
      </c>
      <c r="D2075" s="5"/>
      <c r="E2075" s="5">
        <f>=HYPERLINK("https://luminus.nus.edu.sg/modules/9db85b18-c86e-41e2-a3ba-ae49bf653d02","LumiNUS course site")</f>
      </c>
      <c r="F2075" s="0" t="s">
        <v>3345</v>
      </c>
      <c r="G2075" s="0" t="s">
        <v>3346</v>
      </c>
      <c r="H2075" s="3">
        <v>0</v>
      </c>
    </row>
    <row r="2076">
      <c r="A2076" s="0" t="s">
        <v>3741</v>
      </c>
      <c r="B2076" s="0" t="s">
        <v>3521</v>
      </c>
      <c r="C2076" s="5">
        <f>=HYPERLINK("https://nusmods.com/modules/LLJ5322V#timetable","Timetable")</f>
      </c>
      <c r="D2076" s="5"/>
      <c r="E2076" s="5">
        <f>=HYPERLINK("https://luminus.nus.edu.sg/modules/f9c9dde1-9e85-491b-9ebc-b1db64011c55","LumiNUS course site")</f>
      </c>
      <c r="F2076" s="0" t="s">
        <v>3345</v>
      </c>
      <c r="G2076" s="0" t="s">
        <v>3346</v>
      </c>
      <c r="H2076" s="3">
        <v>0</v>
      </c>
    </row>
    <row r="2077">
      <c r="A2077" s="0" t="s">
        <v>3742</v>
      </c>
      <c r="B2077" s="0" t="s">
        <v>3523</v>
      </c>
      <c r="C2077" s="5">
        <f>=HYPERLINK("https://nusmods.com/modules/LLJ5328#timetable","Timetable")</f>
      </c>
      <c r="D2077" s="5"/>
      <c r="E2077" s="5">
        <f>=HYPERLINK("https://luminus.nus.edu.sg/modules/e89a0b57-4218-479b-a303-ba21cba1d4e0","LumiNUS course site")</f>
      </c>
      <c r="F2077" s="0" t="s">
        <v>3345</v>
      </c>
      <c r="G2077" s="0" t="s">
        <v>3346</v>
      </c>
      <c r="H2077" s="3">
        <v>0</v>
      </c>
    </row>
    <row r="2078">
      <c r="A2078" s="0" t="s">
        <v>3743</v>
      </c>
      <c r="B2078" s="0" t="s">
        <v>3525</v>
      </c>
      <c r="C2078" s="5">
        <f>=HYPERLINK("https://nusmods.com/modules/LLJ5335V#timetable","Timetable")</f>
      </c>
      <c r="D2078" s="5"/>
      <c r="E2078" s="5">
        <f>=HYPERLINK("https://luminus.nus.edu.sg/modules/0c1fc728-9f7a-440d-8cb1-0cbfe3523aeb","LumiNUS course site")</f>
      </c>
      <c r="F2078" s="0" t="s">
        <v>3345</v>
      </c>
      <c r="G2078" s="0" t="s">
        <v>3346</v>
      </c>
      <c r="H2078" s="3">
        <v>0</v>
      </c>
    </row>
    <row r="2079">
      <c r="A2079" s="0" t="s">
        <v>3744</v>
      </c>
      <c r="B2079" s="0" t="s">
        <v>3527</v>
      </c>
      <c r="C2079" s="5">
        <f>=HYPERLINK("https://nusmods.com/modules/LLJ5342V#timetable","Timetable")</f>
      </c>
      <c r="D2079" s="5"/>
      <c r="E2079" s="5">
        <f>=HYPERLINK("https://luminus.nus.edu.sg/modules/66269360-d904-4c0d-852f-4c004ad06f59","LumiNUS course site")</f>
      </c>
      <c r="F2079" s="0" t="s">
        <v>3345</v>
      </c>
      <c r="G2079" s="0" t="s">
        <v>3346</v>
      </c>
      <c r="H2079" s="3">
        <v>0</v>
      </c>
    </row>
    <row r="2080">
      <c r="A2080" s="0" t="s">
        <v>3745</v>
      </c>
      <c r="B2080" s="0" t="s">
        <v>3529</v>
      </c>
      <c r="C2080" s="5">
        <f>=HYPERLINK("https://nusmods.com/modules/LLJ5359Z#timetable","Timetable")</f>
      </c>
      <c r="D2080" s="5"/>
      <c r="E2080" s="5">
        <f>=HYPERLINK("https://luminus.nus.edu.sg/modules/036553f9-f780-4f66-a349-35486ff9ad96","LumiNUS course site")</f>
      </c>
      <c r="F2080" s="0" t="s">
        <v>3345</v>
      </c>
      <c r="G2080" s="0" t="s">
        <v>3346</v>
      </c>
      <c r="H2080" s="3">
        <v>0</v>
      </c>
    </row>
    <row r="2081">
      <c r="A2081" s="0" t="s">
        <v>3746</v>
      </c>
      <c r="B2081" s="0" t="s">
        <v>3531</v>
      </c>
      <c r="C2081" s="5">
        <f>=HYPERLINK("https://nusmods.com/modules/LLJ5382V#timetable","Timetable")</f>
      </c>
      <c r="D2081" s="5"/>
      <c r="E2081" s="5"/>
      <c r="F2081" s="0" t="s">
        <v>3345</v>
      </c>
      <c r="G2081" s="0" t="s">
        <v>3346</v>
      </c>
      <c r="H2081" s="3">
        <v>0</v>
      </c>
    </row>
    <row r="2082">
      <c r="A2082" s="0" t="s">
        <v>3747</v>
      </c>
      <c r="B2082" s="0" t="s">
        <v>3533</v>
      </c>
      <c r="C2082" s="5">
        <f>=HYPERLINK("https://nusmods.com/modules/LLJ5383Z#timetable","Timetable")</f>
      </c>
      <c r="D2082" s="5"/>
      <c r="E2082" s="5">
        <f>=HYPERLINK("https://luminus.nus.edu.sg/modules/aa55e152-c95c-48b1-bd25-40d4aa2dd269","LumiNUS course site")</f>
      </c>
      <c r="F2082" s="0" t="s">
        <v>3345</v>
      </c>
      <c r="G2082" s="0" t="s">
        <v>3346</v>
      </c>
      <c r="H2082" s="3">
        <v>0</v>
      </c>
    </row>
    <row r="2083">
      <c r="A2083" s="0" t="s">
        <v>3748</v>
      </c>
      <c r="B2083" s="0" t="s">
        <v>3405</v>
      </c>
      <c r="C2083" s="5">
        <f>=HYPERLINK("https://nusmods.com/modules/LLJ5405A#timetable","Timetable")</f>
      </c>
      <c r="D2083" s="5"/>
      <c r="E2083" s="5"/>
      <c r="F2083" s="0" t="s">
        <v>3345</v>
      </c>
      <c r="G2083" s="0" t="s">
        <v>3346</v>
      </c>
      <c r="H2083" s="3">
        <v>0</v>
      </c>
    </row>
    <row r="2084">
      <c r="A2084" s="0" t="s">
        <v>3749</v>
      </c>
      <c r="B2084" s="0" t="s">
        <v>3620</v>
      </c>
      <c r="C2084" s="5">
        <f>=HYPERLINK("https://nusmods.com/modules/LLJ5407#timetable","Timetable")</f>
      </c>
      <c r="D2084" s="5"/>
      <c r="E2084" s="5"/>
      <c r="F2084" s="0" t="s">
        <v>3345</v>
      </c>
      <c r="G2084" s="0" t="s">
        <v>3346</v>
      </c>
      <c r="H2084" s="3">
        <v>0</v>
      </c>
    </row>
    <row r="2085">
      <c r="A2085" s="0" t="s">
        <v>3750</v>
      </c>
      <c r="B2085" s="0" t="s">
        <v>3542</v>
      </c>
      <c r="C2085" s="5">
        <f>=HYPERLINK("https://nusmods.com/modules/LLJ5433V#timetable","Timetable")</f>
      </c>
      <c r="D2085" s="5"/>
      <c r="E2085" s="5">
        <f>=HYPERLINK("https://luminus.nus.edu.sg/modules/897baf17-5b09-47a7-9202-ef66c2a775fe","LumiNUS course site")</f>
      </c>
      <c r="F2085" s="0" t="s">
        <v>3345</v>
      </c>
      <c r="G2085" s="0" t="s">
        <v>3346</v>
      </c>
      <c r="H2085" s="3">
        <v>0</v>
      </c>
    </row>
    <row r="2086">
      <c r="A2086" s="0" t="s">
        <v>3751</v>
      </c>
      <c r="B2086" s="0" t="s">
        <v>3544</v>
      </c>
      <c r="C2086" s="5">
        <f>=HYPERLINK("https://nusmods.com/modules/LLJ5436V#timetable","Timetable")</f>
      </c>
      <c r="D2086" s="5"/>
      <c r="E2086" s="5">
        <f>=HYPERLINK("https://luminus.nus.edu.sg/modules/16332bb2-3a04-4642-a55f-4d95165cd40e","LumiNUS course site")</f>
      </c>
      <c r="F2086" s="0" t="s">
        <v>3345</v>
      </c>
      <c r="G2086" s="0" t="s">
        <v>3346</v>
      </c>
      <c r="H2086" s="3">
        <v>0</v>
      </c>
    </row>
    <row r="2087">
      <c r="A2087" s="0" t="s">
        <v>3752</v>
      </c>
      <c r="B2087" s="0" t="s">
        <v>3546</v>
      </c>
      <c r="C2087" s="5">
        <f>=HYPERLINK("https://nusmods.com/modules/LLJ5454V#timetable","Timetable")</f>
      </c>
      <c r="D2087" s="5"/>
      <c r="E2087" s="5">
        <f>=HYPERLINK("https://luminus.nus.edu.sg/modules/2fc1f70a-57e6-4caf-b678-fc1b1253d8c4","LumiNUS course site")</f>
      </c>
      <c r="F2087" s="0" t="s">
        <v>3345</v>
      </c>
      <c r="G2087" s="0" t="s">
        <v>3346</v>
      </c>
      <c r="H2087" s="3">
        <v>0</v>
      </c>
    </row>
    <row r="2088">
      <c r="A2088" s="0" t="s">
        <v>3753</v>
      </c>
      <c r="B2088" s="0" t="s">
        <v>3548</v>
      </c>
      <c r="C2088" s="5">
        <f>=HYPERLINK("https://nusmods.com/modules/LLJ5463V#timetable","Timetable")</f>
      </c>
      <c r="D2088" s="5"/>
      <c r="E2088" s="5"/>
      <c r="F2088" s="0" t="s">
        <v>3345</v>
      </c>
      <c r="G2088" s="0" t="s">
        <v>3346</v>
      </c>
      <c r="H2088" s="3">
        <v>0</v>
      </c>
    </row>
    <row r="2089">
      <c r="A2089" s="0" t="s">
        <v>3754</v>
      </c>
      <c r="B2089" s="0" t="s">
        <v>3550</v>
      </c>
      <c r="C2089" s="5">
        <f>=HYPERLINK("https://nusmods.com/modules/LLJ5464#timetable","Timetable")</f>
      </c>
      <c r="D2089" s="5"/>
      <c r="E2089" s="5">
        <f>=HYPERLINK("https://luminus.nus.edu.sg/modules/57d19b71-5326-4fff-8f2f-2923cc344b2d","LumiNUS course site")</f>
      </c>
      <c r="F2089" s="0" t="s">
        <v>3345</v>
      </c>
      <c r="G2089" s="0" t="s">
        <v>3346</v>
      </c>
      <c r="H2089" s="3">
        <v>0</v>
      </c>
    </row>
    <row r="2090">
      <c r="A2090" s="0" t="s">
        <v>3755</v>
      </c>
      <c r="B2090" s="0" t="s">
        <v>3552</v>
      </c>
      <c r="C2090" s="5">
        <f>=HYPERLINK("https://nusmods.com/modules/LLJ5465#timetable","Timetable")</f>
      </c>
      <c r="D2090" s="5"/>
      <c r="E2090" s="5">
        <f>=HYPERLINK("https://luminus.nus.edu.sg/modules/fa25d1f6-9e45-438b-811a-cbbb13a2d3c3","LumiNUS course site")</f>
      </c>
      <c r="F2090" s="0" t="s">
        <v>3345</v>
      </c>
      <c r="G2090" s="0" t="s">
        <v>3346</v>
      </c>
      <c r="H2090" s="3">
        <v>0</v>
      </c>
    </row>
    <row r="2091">
      <c r="A2091" s="0" t="s">
        <v>3756</v>
      </c>
      <c r="B2091" s="0" t="s">
        <v>3554</v>
      </c>
      <c r="C2091" s="5">
        <f>=HYPERLINK("https://nusmods.com/modules/LLJ5471#timetable","Timetable")</f>
      </c>
      <c r="D2091" s="5"/>
      <c r="E2091" s="5">
        <f>=HYPERLINK("https://luminus.nus.edu.sg/modules/a5470b27-cacf-4762-a2ed-893d839691de","LumiNUS course site")</f>
      </c>
      <c r="F2091" s="0" t="s">
        <v>3345</v>
      </c>
      <c r="G2091" s="0" t="s">
        <v>3346</v>
      </c>
      <c r="H2091" s="3">
        <v>0</v>
      </c>
    </row>
    <row r="2092">
      <c r="A2092" s="0" t="s">
        <v>3757</v>
      </c>
      <c r="B2092" s="0" t="s">
        <v>3556</v>
      </c>
      <c r="C2092" s="5">
        <f>=HYPERLINK("https://nusmods.com/modules/LLJ5472#timetable","Timetable")</f>
      </c>
      <c r="D2092" s="5"/>
      <c r="E2092" s="5">
        <f>=HYPERLINK("https://luminus.nus.edu.sg/modules/3eb89951-a0ff-487b-914f-53ddbbe0d0b7","LumiNUS course site")</f>
      </c>
      <c r="F2092" s="0" t="s">
        <v>3345</v>
      </c>
      <c r="G2092" s="0" t="s">
        <v>3346</v>
      </c>
      <c r="H2092" s="3">
        <v>0</v>
      </c>
    </row>
    <row r="2093">
      <c r="A2093" s="0" t="s">
        <v>3758</v>
      </c>
      <c r="B2093" s="0" t="s">
        <v>3558</v>
      </c>
      <c r="C2093" s="5">
        <f>=HYPERLINK("https://nusmods.com/modules/LLJ5473#timetable","Timetable")</f>
      </c>
      <c r="D2093" s="5"/>
      <c r="E2093" s="5">
        <f>=HYPERLINK("https://luminus.nus.edu.sg/modules/24d35521-af8b-4cc1-bfeb-80ebd95e1038","LumiNUS course site")</f>
      </c>
      <c r="F2093" s="0" t="s">
        <v>3345</v>
      </c>
      <c r="G2093" s="0" t="s">
        <v>3346</v>
      </c>
      <c r="H2093" s="3">
        <v>0</v>
      </c>
    </row>
    <row r="2094">
      <c r="A2094" s="0" t="s">
        <v>3759</v>
      </c>
      <c r="B2094" s="0" t="s">
        <v>3560</v>
      </c>
      <c r="C2094" s="5">
        <f>=HYPERLINK("https://nusmods.com/modules/LLJ5474#timetable","Timetable")</f>
      </c>
      <c r="D2094" s="5"/>
      <c r="E2094" s="5">
        <f>=HYPERLINK("https://luminus.nus.edu.sg/modules/46ce588c-f723-4fb7-a4e7-ac0a95b5ed1c","LumiNUS course site")</f>
      </c>
      <c r="F2094" s="0" t="s">
        <v>3345</v>
      </c>
      <c r="G2094" s="0" t="s">
        <v>3346</v>
      </c>
      <c r="H2094" s="3">
        <v>0</v>
      </c>
    </row>
    <row r="2095">
      <c r="A2095" s="0" t="s">
        <v>3760</v>
      </c>
      <c r="B2095" s="0" t="s">
        <v>3562</v>
      </c>
      <c r="C2095" s="5">
        <f>=HYPERLINK("https://nusmods.com/modules/LLJ5475V#timetable","Timetable")</f>
      </c>
      <c r="D2095" s="5"/>
      <c r="E2095" s="5">
        <f>=HYPERLINK("https://luminus.nus.edu.sg/modules/c2854abd-1f83-49f7-a56f-85593f1b24d9","LumiNUS course site")</f>
      </c>
      <c r="F2095" s="0" t="s">
        <v>3345</v>
      </c>
      <c r="G2095" s="0" t="s">
        <v>3346</v>
      </c>
      <c r="H2095" s="3">
        <v>0</v>
      </c>
    </row>
    <row r="2096">
      <c r="A2096" s="0" t="s">
        <v>3761</v>
      </c>
      <c r="B2096" s="0" t="s">
        <v>3762</v>
      </c>
      <c r="C2096" s="5">
        <f>=HYPERLINK("https://nusmods.com/modules/LSE6101#timetable","Timetable")</f>
      </c>
      <c r="D2096" s="5"/>
      <c r="E2096" s="5"/>
      <c r="F2096" s="0" t="s">
        <v>2745</v>
      </c>
      <c r="G2096" s="0" t="s">
        <v>2746</v>
      </c>
      <c r="H2096" s="3">
        <v>0</v>
      </c>
    </row>
    <row r="2097">
      <c r="A2097" s="0" t="s">
        <v>3763</v>
      </c>
      <c r="B2097" s="0" t="s">
        <v>3764</v>
      </c>
      <c r="C2097" s="5">
        <f>=HYPERLINK("https://nusmods.com/modules/LSM1111#timetable","Timetable")</f>
      </c>
      <c r="D2097" s="5">
        <f>=HYPERLINK("https://canvas.nus.edu.sg/courses/23879","Canvas course site")</f>
      </c>
      <c r="E2097" s="5"/>
      <c r="F2097" s="0" t="s">
        <v>266</v>
      </c>
      <c r="G2097" s="0" t="s">
        <v>267</v>
      </c>
      <c r="H2097" s="3">
        <v>246</v>
      </c>
    </row>
    <row r="2098">
      <c r="A2098" s="0" t="s">
        <v>3765</v>
      </c>
      <c r="B2098" s="0" t="s">
        <v>3766</v>
      </c>
      <c r="C2098" s="5">
        <f>=HYPERLINK("https://nusmods.com/modules/LSM1301#timetable","Timetable")</f>
      </c>
      <c r="D2098" s="5"/>
      <c r="E2098" s="5">
        <f>=HYPERLINK("https://luminus.nus.edu.sg/modules/761f9444-c8a9-4c11-b209-4cbb65298ec0","LumiNUS course site")</f>
      </c>
      <c r="F2098" s="0" t="s">
        <v>266</v>
      </c>
      <c r="G2098" s="0" t="s">
        <v>267</v>
      </c>
      <c r="H2098" s="3">
        <v>288</v>
      </c>
    </row>
    <row r="2099">
      <c r="A2099" s="0" t="s">
        <v>3767</v>
      </c>
      <c r="B2099" s="0" t="s">
        <v>3768</v>
      </c>
      <c r="C2099" s="5">
        <f>=HYPERLINK("https://nusmods.com/modules/LSM2105#timetable","Timetable")</f>
      </c>
      <c r="D2099" s="5">
        <f>=HYPERLINK("https://canvas.nus.edu.sg/courses/23886","Canvas course site")</f>
      </c>
      <c r="E2099" s="5">
        <f>=HYPERLINK("https://luminus.nus.edu.sg/modules/5aab79cf-bf3b-429a-927a-1d53ef35452f","LumiNUS course site")</f>
      </c>
      <c r="F2099" s="0" t="s">
        <v>266</v>
      </c>
      <c r="G2099" s="0" t="s">
        <v>267</v>
      </c>
      <c r="H2099" s="3">
        <v>244</v>
      </c>
    </row>
    <row r="2100">
      <c r="A2100" s="0" t="s">
        <v>3769</v>
      </c>
      <c r="B2100" s="0" t="s">
        <v>3770</v>
      </c>
      <c r="C2100" s="5">
        <f>=HYPERLINK("https://nusmods.com/modules/LSM2106#timetable","Timetable")</f>
      </c>
      <c r="D2100" s="5"/>
      <c r="E2100" s="5">
        <f>=HYPERLINK("https://luminus.nus.edu.sg/modules/20013f88-5154-49a1-b34e-fb4160a602f7","LumiNUS course site")</f>
      </c>
      <c r="F2100" s="0" t="s">
        <v>90</v>
      </c>
      <c r="G2100" s="0" t="s">
        <v>3771</v>
      </c>
      <c r="H2100" s="3">
        <v>252</v>
      </c>
    </row>
    <row r="2101">
      <c r="A2101" s="0" t="s">
        <v>3772</v>
      </c>
      <c r="B2101" s="0" t="s">
        <v>3773</v>
      </c>
      <c r="C2101" s="5">
        <f>=HYPERLINK("https://nusmods.com/modules/LSM2107#timetable","Timetable")</f>
      </c>
      <c r="D2101" s="5">
        <f>=HYPERLINK("https://canvas.nus.edu.sg/courses/23894","Canvas course site")</f>
      </c>
      <c r="E2101" s="5"/>
      <c r="F2101" s="0" t="s">
        <v>266</v>
      </c>
      <c r="G2101" s="0" t="s">
        <v>267</v>
      </c>
      <c r="H2101" s="3">
        <v>177</v>
      </c>
    </row>
    <row r="2102">
      <c r="A2102" s="0" t="s">
        <v>3774</v>
      </c>
      <c r="B2102" s="0" t="s">
        <v>3775</v>
      </c>
      <c r="C2102" s="5">
        <f>=HYPERLINK("https://nusmods.com/modules/LSM2191#timetable","Timetable")</f>
      </c>
      <c r="D2102" s="5">
        <f>=HYPERLINK("https://canvas.nus.edu.sg/courses/23899","Canvas course site")</f>
      </c>
      <c r="E2102" s="5">
        <f>=HYPERLINK("https://luminus.nus.edu.sg/modules/20ca56f4-52d3-4a9a-8108-b307df568538","LumiNUS course site")</f>
      </c>
      <c r="F2102" s="0" t="s">
        <v>266</v>
      </c>
      <c r="G2102" s="0" t="s">
        <v>267</v>
      </c>
      <c r="H2102" s="3">
        <v>207</v>
      </c>
    </row>
    <row r="2103">
      <c r="A2103" s="0" t="s">
        <v>3776</v>
      </c>
      <c r="B2103" s="0" t="s">
        <v>3777</v>
      </c>
      <c r="C2103" s="5">
        <f>=HYPERLINK("https://nusmods.com/modules/LSM2212#timetable","Timetable")</f>
      </c>
      <c r="D2103" s="5">
        <f>=HYPERLINK("https://canvas.nus.edu.sg/courses/23903","Canvas course site")</f>
      </c>
      <c r="E2103" s="5">
        <f>=HYPERLINK("https://luminus.nus.edu.sg/modules/a82182a5-ca87-4df5-af70-a0e49872a879","LumiNUS course site")</f>
      </c>
      <c r="F2103" s="0" t="s">
        <v>90</v>
      </c>
      <c r="G2103" s="0" t="s">
        <v>3778</v>
      </c>
      <c r="H2103" s="3">
        <v>116</v>
      </c>
    </row>
    <row r="2104">
      <c r="A2104" s="0" t="s">
        <v>3779</v>
      </c>
      <c r="B2104" s="0" t="s">
        <v>3780</v>
      </c>
      <c r="C2104" s="5">
        <f>=HYPERLINK("https://nusmods.com/modules/LSM2233#timetable","Timetable")</f>
      </c>
      <c r="D2104" s="5"/>
      <c r="E2104" s="5">
        <f>=HYPERLINK("https://luminus.nus.edu.sg/modules/5bcf9652-72fe-4554-b3ad-a7a10b172449","LumiNUS course site")</f>
      </c>
      <c r="F2104" s="0" t="s">
        <v>90</v>
      </c>
      <c r="G2104" s="0" t="s">
        <v>3771</v>
      </c>
      <c r="H2104" s="3">
        <v>139</v>
      </c>
    </row>
    <row r="2105">
      <c r="A2105" s="0" t="s">
        <v>3781</v>
      </c>
      <c r="B2105" s="0" t="s">
        <v>3782</v>
      </c>
      <c r="C2105" s="5">
        <f>=HYPERLINK("https://nusmods.com/modules/LSM2241#timetable","Timetable")</f>
      </c>
      <c r="D2105" s="5">
        <f>=HYPERLINK("https://canvas.nus.edu.sg/courses/22501","Canvas course site")</f>
      </c>
      <c r="E2105" s="5">
        <f>=HYPERLINK("https://luminus.nus.edu.sg/modules/920f9fb3-0326-4962-b003-72f2fef290a7","LumiNUS course site")</f>
      </c>
      <c r="F2105" s="0" t="s">
        <v>266</v>
      </c>
      <c r="G2105" s="0" t="s">
        <v>267</v>
      </c>
      <c r="H2105" s="3">
        <v>63</v>
      </c>
    </row>
    <row r="2106">
      <c r="A2106" s="0" t="s">
        <v>3783</v>
      </c>
      <c r="B2106" s="0" t="s">
        <v>3784</v>
      </c>
      <c r="C2106" s="5">
        <f>=HYPERLINK("https://nusmods.com/modules/LSM2251#timetable","Timetable")</f>
      </c>
      <c r="D2106" s="5">
        <f>=HYPERLINK("https://canvas.nus.edu.sg/courses/23914","Canvas course site")</f>
      </c>
      <c r="E2106" s="5"/>
      <c r="F2106" s="0" t="s">
        <v>266</v>
      </c>
      <c r="G2106" s="0" t="s">
        <v>267</v>
      </c>
      <c r="H2106" s="3">
        <v>55</v>
      </c>
    </row>
    <row r="2107">
      <c r="A2107" s="0" t="s">
        <v>3785</v>
      </c>
      <c r="B2107" s="0" t="s">
        <v>3786</v>
      </c>
      <c r="C2107" s="5">
        <f>=HYPERLINK("https://nusmods.com/modules/LSM2252#timetable","Timetable")</f>
      </c>
      <c r="D2107" s="5">
        <f>=HYPERLINK("https://canvas.nus.edu.sg/courses/23919","Canvas course site")</f>
      </c>
      <c r="E2107" s="5"/>
      <c r="F2107" s="0" t="s">
        <v>266</v>
      </c>
      <c r="G2107" s="0" t="s">
        <v>267</v>
      </c>
      <c r="H2107" s="3">
        <v>39</v>
      </c>
    </row>
    <row r="2108">
      <c r="A2108" s="0" t="s">
        <v>3787</v>
      </c>
      <c r="B2108" s="0" t="s">
        <v>3788</v>
      </c>
      <c r="C2108" s="5">
        <f>=HYPERLINK("https://nusmods.com/modules/LSM2288#timetable","Timetable")</f>
      </c>
      <c r="D2108" s="5">
        <f>=HYPERLINK("https://canvas.nus.edu.sg/courses/23923","Canvas course site")</f>
      </c>
      <c r="E2108" s="5">
        <f>=HYPERLINK("https://luminus.nus.edu.sg/modules/8db86109-5572-442a-948c-6bae64ae17a9","LumiNUS course site")</f>
      </c>
      <c r="F2108" s="0" t="s">
        <v>266</v>
      </c>
      <c r="G2108" s="0" t="s">
        <v>267</v>
      </c>
      <c r="H2108" s="3">
        <v>22</v>
      </c>
    </row>
    <row r="2109">
      <c r="A2109" s="0" t="s">
        <v>3789</v>
      </c>
      <c r="B2109" s="0" t="s">
        <v>3790</v>
      </c>
      <c r="C2109" s="5">
        <f>=HYPERLINK("https://nusmods.com/modules/LSM2289#timetable","Timetable")</f>
      </c>
      <c r="D2109" s="5">
        <f>=HYPERLINK("https://canvas.nus.edu.sg/courses/23927","Canvas course site")</f>
      </c>
      <c r="E2109" s="5">
        <f>=HYPERLINK("https://luminus.nus.edu.sg/modules/fc5f9b3f-2ea1-4965-91d7-0217a09807be","LumiNUS course site")</f>
      </c>
      <c r="F2109" s="0" t="s">
        <v>266</v>
      </c>
      <c r="G2109" s="0" t="s">
        <v>267</v>
      </c>
      <c r="H2109" s="3">
        <v>8</v>
      </c>
    </row>
    <row r="2110">
      <c r="A2110" s="0" t="s">
        <v>3791</v>
      </c>
      <c r="B2110" s="0" t="s">
        <v>3792</v>
      </c>
      <c r="C2110" s="5">
        <f>=HYPERLINK("https://nusmods.com/modules/LSM2291#timetable","Timetable")</f>
      </c>
      <c r="D2110" s="5"/>
      <c r="E2110" s="5">
        <f>=HYPERLINK("https://luminus.nus.edu.sg/modules/91c77c22-05e9-4322-86fc-f7a9588b4bdd","LumiNUS course site")</f>
      </c>
      <c r="F2110" s="0" t="s">
        <v>90</v>
      </c>
      <c r="G2110" s="0" t="s">
        <v>3793</v>
      </c>
      <c r="H2110" s="3">
        <v>13</v>
      </c>
    </row>
    <row r="2111">
      <c r="A2111" s="0" t="s">
        <v>3794</v>
      </c>
      <c r="B2111" s="0" t="s">
        <v>3795</v>
      </c>
      <c r="C2111" s="5">
        <f>=HYPERLINK("https://nusmods.com/modules/LSM2302#timetable","Timetable")</f>
      </c>
      <c r="D2111" s="5">
        <f>=HYPERLINK("https://canvas.nus.edu.sg/courses/23934","Canvas course site")</f>
      </c>
      <c r="E2111" s="5"/>
      <c r="F2111" s="0" t="s">
        <v>266</v>
      </c>
      <c r="G2111" s="0" t="s">
        <v>267</v>
      </c>
      <c r="H2111" s="3">
        <v>127</v>
      </c>
    </row>
    <row r="2112">
      <c r="A2112" s="0" t="s">
        <v>3796</v>
      </c>
      <c r="B2112" s="0" t="s">
        <v>1623</v>
      </c>
      <c r="C2112" s="5">
        <f>=HYPERLINK("https://nusmods.com/modules/LSM2312#timetable","Timetable")</f>
      </c>
      <c r="D2112" s="5"/>
      <c r="E2112" s="5"/>
      <c r="F2112" s="0" t="s">
        <v>266</v>
      </c>
      <c r="G2112" s="0" t="s">
        <v>267</v>
      </c>
      <c r="H2112" s="3">
        <v>3</v>
      </c>
    </row>
    <row r="2113">
      <c r="A2113" s="0" t="s">
        <v>3797</v>
      </c>
      <c r="B2113" s="0" t="s">
        <v>3798</v>
      </c>
      <c r="C2113" s="5">
        <f>=HYPERLINK("https://nusmods.com/modules/LSM3201#timetable","Timetable")</f>
      </c>
      <c r="D2113" s="5">
        <f>=HYPERLINK("https://canvas.nus.edu.sg/courses/23938","Canvas course site")</f>
      </c>
      <c r="E2113" s="5"/>
      <c r="F2113" s="0" t="s">
        <v>266</v>
      </c>
      <c r="G2113" s="0" t="s">
        <v>267</v>
      </c>
      <c r="H2113" s="3">
        <v>10</v>
      </c>
    </row>
    <row r="2114">
      <c r="A2114" s="0" t="s">
        <v>3799</v>
      </c>
      <c r="B2114" s="0" t="s">
        <v>3800</v>
      </c>
      <c r="C2114" s="5">
        <f>=HYPERLINK("https://nusmods.com/modules/LSM3210#timetable","Timetable")</f>
      </c>
      <c r="D2114" s="5"/>
      <c r="E2114" s="5">
        <f>=HYPERLINK("https://luminus.nus.edu.sg/modules/a93f6c45-b2b1-44db-a713-a5b421bff714","LumiNUS course site")</f>
      </c>
      <c r="F2114" s="0" t="s">
        <v>90</v>
      </c>
      <c r="G2114" s="0" t="s">
        <v>3771</v>
      </c>
      <c r="H2114" s="3">
        <v>29</v>
      </c>
    </row>
    <row r="2115">
      <c r="A2115" s="0" t="s">
        <v>3801</v>
      </c>
      <c r="B2115" s="0" t="s">
        <v>3802</v>
      </c>
      <c r="C2115" s="5">
        <f>=HYPERLINK("https://nusmods.com/modules/LSM3211#timetable","Timetable")</f>
      </c>
      <c r="D2115" s="5">
        <f>=HYPERLINK("https://canvas.nus.edu.sg/courses/23949","Canvas course site")</f>
      </c>
      <c r="E2115" s="5"/>
      <c r="F2115" s="0" t="s">
        <v>90</v>
      </c>
      <c r="G2115" s="0" t="s">
        <v>3803</v>
      </c>
      <c r="H2115" s="3">
        <v>72</v>
      </c>
    </row>
    <row r="2116">
      <c r="A2116" s="0" t="s">
        <v>3804</v>
      </c>
      <c r="B2116" s="0" t="s">
        <v>3805</v>
      </c>
      <c r="C2116" s="5">
        <f>=HYPERLINK("https://nusmods.com/modules/LSM3212#timetable","Timetable")</f>
      </c>
      <c r="D2116" s="5"/>
      <c r="E2116" s="5">
        <f>=HYPERLINK("https://luminus.nus.edu.sg/modules/555ca081-1cbe-4446-b68b-a5037d882e3d","LumiNUS course site")</f>
      </c>
      <c r="F2116" s="0" t="s">
        <v>90</v>
      </c>
      <c r="G2116" s="0" t="s">
        <v>91</v>
      </c>
      <c r="H2116" s="3">
        <v>42</v>
      </c>
    </row>
    <row r="2117">
      <c r="A2117" s="0" t="s">
        <v>3806</v>
      </c>
      <c r="B2117" s="0" t="s">
        <v>3807</v>
      </c>
      <c r="C2117" s="5">
        <f>=HYPERLINK("https://nusmods.com/modules/LSM3215#timetable","Timetable")</f>
      </c>
      <c r="D2117" s="5"/>
      <c r="E2117" s="5">
        <f>=HYPERLINK("https://luminus.nus.edu.sg/modules/8582969c-af6f-4278-bfd3-27abc6945275","LumiNUS course site")</f>
      </c>
      <c r="F2117" s="0" t="s">
        <v>90</v>
      </c>
      <c r="G2117" s="0" t="s">
        <v>91</v>
      </c>
      <c r="H2117" s="3">
        <v>36</v>
      </c>
    </row>
    <row r="2118">
      <c r="A2118" s="0" t="s">
        <v>3808</v>
      </c>
      <c r="B2118" s="0" t="s">
        <v>3809</v>
      </c>
      <c r="C2118" s="5">
        <f>=HYPERLINK("https://nusmods.com/modules/LSM3217#timetable","Timetable")</f>
      </c>
      <c r="D2118" s="5"/>
      <c r="E2118" s="5">
        <f>=HYPERLINK("https://luminus.nus.edu.sg/modules/9db4d9a2-280d-457f-853d-574181c52fca","LumiNUS course site")</f>
      </c>
      <c r="F2118" s="0" t="s">
        <v>90</v>
      </c>
      <c r="G2118" s="0" t="s">
        <v>91</v>
      </c>
      <c r="H2118" s="3">
        <v>29</v>
      </c>
    </row>
    <row r="2119">
      <c r="A2119" s="0" t="s">
        <v>3810</v>
      </c>
      <c r="B2119" s="0" t="s">
        <v>3811</v>
      </c>
      <c r="C2119" s="5">
        <f>=HYPERLINK("https://nusmods.com/modules/LSM3220#timetable","Timetable")</f>
      </c>
      <c r="D2119" s="5">
        <f>=HYPERLINK("https://canvas.nus.edu.sg/courses/23967","Canvas course site")</f>
      </c>
      <c r="E2119" s="5"/>
      <c r="F2119" s="0" t="s">
        <v>266</v>
      </c>
      <c r="G2119" s="0" t="s">
        <v>267</v>
      </c>
      <c r="H2119" s="3">
        <v>18</v>
      </c>
    </row>
    <row r="2120">
      <c r="A2120" s="0" t="s">
        <v>3812</v>
      </c>
      <c r="B2120" s="0" t="s">
        <v>3813</v>
      </c>
      <c r="C2120" s="5">
        <f>=HYPERLINK("https://nusmods.com/modules/LSM3223#timetable","Timetable")</f>
      </c>
      <c r="D2120" s="5"/>
      <c r="E2120" s="5">
        <f>=HYPERLINK("https://luminus.nus.edu.sg/modules/63ee80ae-d980-4da3-82f0-f9d8da7933e1","LumiNUS course site")</f>
      </c>
      <c r="F2120" s="0" t="s">
        <v>90</v>
      </c>
      <c r="G2120" s="0" t="s">
        <v>3793</v>
      </c>
      <c r="H2120" s="3">
        <v>42</v>
      </c>
    </row>
    <row r="2121">
      <c r="A2121" s="0" t="s">
        <v>3814</v>
      </c>
      <c r="B2121" s="0" t="s">
        <v>3815</v>
      </c>
      <c r="C2121" s="5">
        <f>=HYPERLINK("https://nusmods.com/modules/LSM3227#timetable","Timetable")</f>
      </c>
      <c r="D2121" s="5">
        <f>=HYPERLINK("https://canvas.nus.edu.sg/courses/23978","Canvas course site")</f>
      </c>
      <c r="E2121" s="5">
        <f>=HYPERLINK("https://luminus.nus.edu.sg/modules/5e1d4ce5-f4f0-40c0-a9b1-a7f27a01d3f4","LumiNUS course site")</f>
      </c>
      <c r="F2121" s="0" t="s">
        <v>266</v>
      </c>
      <c r="G2121" s="0" t="s">
        <v>267</v>
      </c>
      <c r="H2121" s="3">
        <v>18</v>
      </c>
    </row>
    <row r="2122">
      <c r="A2122" s="0" t="s">
        <v>3816</v>
      </c>
      <c r="B2122" s="0" t="s">
        <v>3817</v>
      </c>
      <c r="C2122" s="5">
        <f>=HYPERLINK("https://nusmods.com/modules/LSM3228#timetable","Timetable")</f>
      </c>
      <c r="D2122" s="5"/>
      <c r="E2122" s="5">
        <f>=HYPERLINK("https://luminus.nus.edu.sg/modules/7d6c724d-e05b-45d2-9be0-c33361626bd0","LumiNUS course site")</f>
      </c>
      <c r="F2122" s="0" t="s">
        <v>90</v>
      </c>
      <c r="G2122" s="0" t="s">
        <v>3793</v>
      </c>
      <c r="H2122" s="3">
        <v>15</v>
      </c>
    </row>
    <row r="2123">
      <c r="A2123" s="0" t="s">
        <v>3818</v>
      </c>
      <c r="B2123" s="0" t="s">
        <v>3819</v>
      </c>
      <c r="C2123" s="5">
        <f>=HYPERLINK("https://nusmods.com/modules/LSM3231#timetable","Timetable")</f>
      </c>
      <c r="D2123" s="5"/>
      <c r="E2123" s="5">
        <f>=HYPERLINK("https://luminus.nus.edu.sg/modules/5d32cde4-12ab-48ab-a8df-4cf63c76a3c3","LumiNUS course site")</f>
      </c>
      <c r="F2123" s="0" t="s">
        <v>90</v>
      </c>
      <c r="G2123" s="0" t="s">
        <v>3771</v>
      </c>
      <c r="H2123" s="3">
        <v>23</v>
      </c>
    </row>
    <row r="2124">
      <c r="A2124" s="0" t="s">
        <v>3820</v>
      </c>
      <c r="B2124" s="0" t="s">
        <v>3821</v>
      </c>
      <c r="C2124" s="5">
        <f>=HYPERLINK("https://nusmods.com/modules/LSM3232#timetable","Timetable")</f>
      </c>
      <c r="D2124" s="5"/>
      <c r="E2124" s="5">
        <f>=HYPERLINK("https://luminus.nus.edu.sg/modules/9d5b8f5e-97b8-4068-8491-de16fc0d8958","LumiNUS course site")</f>
      </c>
      <c r="F2124" s="0" t="s">
        <v>90</v>
      </c>
      <c r="G2124" s="0" t="s">
        <v>3793</v>
      </c>
      <c r="H2124" s="3">
        <v>39</v>
      </c>
    </row>
    <row r="2125">
      <c r="A2125" s="0" t="s">
        <v>3822</v>
      </c>
      <c r="B2125" s="0" t="s">
        <v>3823</v>
      </c>
      <c r="C2125" s="5">
        <f>=HYPERLINK("https://nusmods.com/modules/LSM3233#timetable","Timetable")</f>
      </c>
      <c r="D2125" s="5"/>
      <c r="E2125" s="5">
        <f>=HYPERLINK("https://luminus.nus.edu.sg/modules/4211aded-b594-4646-aff6-2c367a93c37b","LumiNUS course site")</f>
      </c>
      <c r="F2125" s="0" t="s">
        <v>266</v>
      </c>
      <c r="G2125" s="0" t="s">
        <v>267</v>
      </c>
      <c r="H2125" s="3">
        <v>31</v>
      </c>
    </row>
    <row r="2126">
      <c r="A2126" s="0" t="s">
        <v>3824</v>
      </c>
      <c r="B2126" s="0" t="s">
        <v>3825</v>
      </c>
      <c r="C2126" s="5">
        <f>=HYPERLINK("https://nusmods.com/modules/LSM3234#timetable","Timetable")</f>
      </c>
      <c r="D2126" s="5">
        <f>=HYPERLINK("https://canvas.nus.edu.sg/courses/23994","Canvas course site")</f>
      </c>
      <c r="E2126" s="5"/>
      <c r="F2126" s="0" t="s">
        <v>266</v>
      </c>
      <c r="G2126" s="0" t="s">
        <v>267</v>
      </c>
      <c r="H2126" s="3">
        <v>23</v>
      </c>
    </row>
    <row r="2127">
      <c r="A2127" s="0" t="s">
        <v>3826</v>
      </c>
      <c r="B2127" s="0" t="s">
        <v>3827</v>
      </c>
      <c r="C2127" s="5">
        <f>=HYPERLINK("https://nusmods.com/modules/LSM3235#timetable","Timetable")</f>
      </c>
      <c r="D2127" s="5"/>
      <c r="E2127" s="5">
        <f>=HYPERLINK("https://luminus.nus.edu.sg/modules/21e7f232-f21a-423b-8b34-7fa0f5ff7c86","LumiNUS course site")</f>
      </c>
      <c r="F2127" s="0" t="s">
        <v>90</v>
      </c>
      <c r="G2127" s="0" t="s">
        <v>91</v>
      </c>
      <c r="H2127" s="3">
        <v>16</v>
      </c>
    </row>
    <row r="2128">
      <c r="A2128" s="0" t="s">
        <v>3828</v>
      </c>
      <c r="B2128" s="0" t="s">
        <v>3829</v>
      </c>
      <c r="C2128" s="5">
        <f>=HYPERLINK("https://nusmods.com/modules/LSM3236#timetable","Timetable")</f>
      </c>
      <c r="D2128" s="5">
        <f>=HYPERLINK("https://canvas.nus.edu.sg/courses/24002","Canvas course site")</f>
      </c>
      <c r="E2128" s="5">
        <f>=HYPERLINK("https://luminus.nus.edu.sg/modules/198250ef-3f4c-4276-b3b9-6c690b8d8e67","LumiNUS course site")</f>
      </c>
      <c r="F2128" s="0" t="s">
        <v>266</v>
      </c>
      <c r="G2128" s="0" t="s">
        <v>267</v>
      </c>
      <c r="H2128" s="3">
        <v>2</v>
      </c>
    </row>
    <row r="2129">
      <c r="A2129" s="0" t="s">
        <v>3830</v>
      </c>
      <c r="B2129" s="0" t="s">
        <v>3831</v>
      </c>
      <c r="C2129" s="5">
        <f>=HYPERLINK("https://nusmods.com/modules/LSM3245#timetable","Timetable")</f>
      </c>
      <c r="D2129" s="5"/>
      <c r="E2129" s="5">
        <f>=HYPERLINK("https://luminus.nus.edu.sg/modules/83d453cc-c2d4-4ab9-aeb3-bc78937350f5","LumiNUS course site")</f>
      </c>
      <c r="F2129" s="0" t="s">
        <v>90</v>
      </c>
      <c r="G2129" s="0" t="s">
        <v>3793</v>
      </c>
      <c r="H2129" s="3">
        <v>20</v>
      </c>
    </row>
    <row r="2130">
      <c r="A2130" s="0" t="s">
        <v>3832</v>
      </c>
      <c r="B2130" s="0" t="s">
        <v>3833</v>
      </c>
      <c r="C2130" s="5">
        <f>=HYPERLINK("https://nusmods.com/modules/LSM3246#timetable","Timetable")</f>
      </c>
      <c r="D2130" s="5"/>
      <c r="E2130" s="5">
        <f>=HYPERLINK("https://luminus.nus.edu.sg/modules/35bc2c03-d80c-45d4-9b52-1b3343dc726d","LumiNUS course site")</f>
      </c>
      <c r="F2130" s="0" t="s">
        <v>90</v>
      </c>
      <c r="G2130" s="0" t="s">
        <v>3771</v>
      </c>
      <c r="H2130" s="3">
        <v>28</v>
      </c>
    </row>
    <row r="2131">
      <c r="A2131" s="0" t="s">
        <v>3834</v>
      </c>
      <c r="B2131" s="0" t="s">
        <v>3835</v>
      </c>
      <c r="C2131" s="5">
        <f>=HYPERLINK("https://nusmods.com/modules/LSM3254#timetable","Timetable")</f>
      </c>
      <c r="D2131" s="5"/>
      <c r="E2131" s="5">
        <f>=HYPERLINK("https://luminus.nus.edu.sg/modules/9726c81d-7e5e-4804-baaa-fa2c597d37c2","LumiNUS course site")</f>
      </c>
      <c r="F2131" s="0" t="s">
        <v>266</v>
      </c>
      <c r="G2131" s="0" t="s">
        <v>267</v>
      </c>
      <c r="H2131" s="3">
        <v>59</v>
      </c>
    </row>
    <row r="2132">
      <c r="A2132" s="0" t="s">
        <v>3836</v>
      </c>
      <c r="B2132" s="0" t="s">
        <v>3837</v>
      </c>
      <c r="C2132" s="5">
        <f>=HYPERLINK("https://nusmods.com/modules/LSM3258#timetable","Timetable")</f>
      </c>
      <c r="D2132" s="5"/>
      <c r="E2132" s="5">
        <f>=HYPERLINK("https://luminus.nus.edu.sg/modules/7be575a3-a2a9-4abe-a4de-9152fb1044f8","LumiNUS course site")</f>
      </c>
      <c r="F2132" s="0" t="s">
        <v>266</v>
      </c>
      <c r="G2132" s="0" t="s">
        <v>267</v>
      </c>
      <c r="H2132" s="3">
        <v>23</v>
      </c>
    </row>
    <row r="2133">
      <c r="A2133" s="0" t="s">
        <v>3838</v>
      </c>
      <c r="B2133" s="0" t="s">
        <v>3839</v>
      </c>
      <c r="C2133" s="5">
        <f>=HYPERLINK("https://nusmods.com/modules/LSM3265#timetable","Timetable")</f>
      </c>
      <c r="D2133" s="5">
        <f>=HYPERLINK("https://canvas.nus.edu.sg/courses/24028","Canvas course site")</f>
      </c>
      <c r="E2133" s="5"/>
      <c r="F2133" s="0" t="s">
        <v>266</v>
      </c>
      <c r="G2133" s="0" t="s">
        <v>267</v>
      </c>
      <c r="H2133" s="3">
        <v>14</v>
      </c>
    </row>
    <row r="2134">
      <c r="A2134" s="0" t="s">
        <v>3840</v>
      </c>
      <c r="B2134" s="0" t="s">
        <v>3841</v>
      </c>
      <c r="C2134" s="5">
        <f>=HYPERLINK("https://nusmods.com/modules/LSM3288#timetable","Timetable")</f>
      </c>
      <c r="D2134" s="5">
        <f>=HYPERLINK("https://canvas.nus.edu.sg/courses/24033","Canvas course site")</f>
      </c>
      <c r="E2134" s="5">
        <f>=HYPERLINK("https://luminus.nus.edu.sg/modules/5bcdbace-11ef-48e9-b2fe-169d140cd02b","LumiNUS course site")</f>
      </c>
      <c r="F2134" s="0" t="s">
        <v>266</v>
      </c>
      <c r="G2134" s="0" t="s">
        <v>267</v>
      </c>
      <c r="H2134" s="3">
        <v>51</v>
      </c>
    </row>
    <row r="2135">
      <c r="A2135" s="0" t="s">
        <v>3842</v>
      </c>
      <c r="B2135" s="0" t="s">
        <v>3843</v>
      </c>
      <c r="C2135" s="5">
        <f>=HYPERLINK("https://nusmods.com/modules/LSM3289#timetable","Timetable")</f>
      </c>
      <c r="D2135" s="5">
        <f>=HYPERLINK("https://canvas.nus.edu.sg/courses/24038","Canvas course site")</f>
      </c>
      <c r="E2135" s="5">
        <f>=HYPERLINK("https://luminus.nus.edu.sg/modules/8cb21633-b55c-484e-9783-b70a89122fb4","LumiNUS course site")</f>
      </c>
      <c r="F2135" s="0" t="s">
        <v>266</v>
      </c>
      <c r="G2135" s="0" t="s">
        <v>267</v>
      </c>
      <c r="H2135" s="3">
        <v>13</v>
      </c>
    </row>
    <row r="2136">
      <c r="A2136" s="0" t="s">
        <v>3844</v>
      </c>
      <c r="B2136" s="0" t="s">
        <v>3845</v>
      </c>
      <c r="C2136" s="5">
        <f>=HYPERLINK("https://nusmods.com/modules/LSM3311#timetable","Timetable")</f>
      </c>
      <c r="D2136" s="5"/>
      <c r="E2136" s="5"/>
      <c r="F2136" s="0" t="s">
        <v>266</v>
      </c>
      <c r="G2136" s="0" t="s">
        <v>267</v>
      </c>
      <c r="H2136" s="3">
        <v>0</v>
      </c>
    </row>
    <row r="2137">
      <c r="A2137" s="0" t="s">
        <v>3846</v>
      </c>
      <c r="B2137" s="0" t="s">
        <v>1089</v>
      </c>
      <c r="C2137" s="5">
        <f>=HYPERLINK("https://nusmods.com/modules/LSM3312#timetable","Timetable")</f>
      </c>
      <c r="D2137" s="5"/>
      <c r="E2137" s="5"/>
      <c r="F2137" s="0" t="s">
        <v>266</v>
      </c>
      <c r="G2137" s="0" t="s">
        <v>267</v>
      </c>
      <c r="H2137" s="3">
        <v>10</v>
      </c>
    </row>
    <row r="2138">
      <c r="A2138" s="0" t="s">
        <v>3847</v>
      </c>
      <c r="B2138" s="0" t="s">
        <v>3848</v>
      </c>
      <c r="C2138" s="5">
        <f>=HYPERLINK("https://nusmods.com/modules/LSM4199#timetable","Timetable")</f>
      </c>
      <c r="D2138" s="5">
        <f>=HYPERLINK("https://canvas.nus.edu.sg/courses/24053","Canvas course site")</f>
      </c>
      <c r="E2138" s="5">
        <f>=HYPERLINK("https://luminus.nus.edu.sg/modules/92ccb5ae-814f-49d3-a6f4-849b4a444f07","LumiNUS course site")</f>
      </c>
      <c r="F2138" s="0" t="s">
        <v>266</v>
      </c>
      <c r="G2138" s="0" t="s">
        <v>267</v>
      </c>
      <c r="H2138" s="3">
        <v>132</v>
      </c>
    </row>
    <row r="2139">
      <c r="A2139" s="0" t="s">
        <v>3849</v>
      </c>
      <c r="B2139" s="0" t="s">
        <v>3850</v>
      </c>
      <c r="C2139" s="5">
        <f>=HYPERLINK("https://nusmods.com/modules/LSM4213#timetable","Timetable")</f>
      </c>
      <c r="D2139" s="5"/>
      <c r="E2139" s="5">
        <f>=HYPERLINK("https://luminus.nus.edu.sg/modules/f9643cc2-4857-48fa-b481-2654c1177dd0","LumiNUS course site")</f>
      </c>
      <c r="F2139" s="0" t="s">
        <v>90</v>
      </c>
      <c r="G2139" s="0" t="s">
        <v>91</v>
      </c>
      <c r="H2139" s="3">
        <v>24</v>
      </c>
    </row>
    <row r="2140">
      <c r="A2140" s="0" t="s">
        <v>3851</v>
      </c>
      <c r="B2140" s="0" t="s">
        <v>3852</v>
      </c>
      <c r="C2140" s="5">
        <f>=HYPERLINK("https://nusmods.com/modules/LSM4214#timetable","Timetable")</f>
      </c>
      <c r="D2140" s="5">
        <f>=HYPERLINK("https://canvas.nus.edu.sg/courses/24063","Canvas course site")</f>
      </c>
      <c r="E2140" s="5"/>
      <c r="F2140" s="0" t="s">
        <v>90</v>
      </c>
      <c r="G2140" s="0" t="s">
        <v>3803</v>
      </c>
      <c r="H2140" s="3">
        <v>44</v>
      </c>
    </row>
    <row r="2141">
      <c r="A2141" s="0" t="s">
        <v>3853</v>
      </c>
      <c r="B2141" s="0" t="s">
        <v>3854</v>
      </c>
      <c r="C2141" s="5">
        <f>=HYPERLINK("https://nusmods.com/modules/LSM4216#timetable","Timetable")</f>
      </c>
      <c r="D2141" s="5"/>
      <c r="E2141" s="5">
        <f>=HYPERLINK("https://luminus.nus.edu.sg/modules/cf7af91b-e5e8-4e64-8359-6fa30f9b0398","LumiNUS course site")</f>
      </c>
      <c r="F2141" s="0" t="s">
        <v>90</v>
      </c>
      <c r="G2141" s="0" t="s">
        <v>3771</v>
      </c>
      <c r="H2141" s="3">
        <v>33</v>
      </c>
    </row>
    <row r="2142">
      <c r="A2142" s="0" t="s">
        <v>3855</v>
      </c>
      <c r="B2142" s="0" t="s">
        <v>3856</v>
      </c>
      <c r="C2142" s="5">
        <f>=HYPERLINK("https://nusmods.com/modules/LSM4221#timetable","Timetable")</f>
      </c>
      <c r="D2142" s="5">
        <f>=HYPERLINK("https://canvas.nus.edu.sg/courses/24073","Canvas course site")</f>
      </c>
      <c r="E2142" s="5"/>
      <c r="F2142" s="0" t="s">
        <v>90</v>
      </c>
      <c r="G2142" s="0" t="s">
        <v>3803</v>
      </c>
      <c r="H2142" s="3">
        <v>56</v>
      </c>
    </row>
    <row r="2143">
      <c r="A2143" s="0" t="s">
        <v>3857</v>
      </c>
      <c r="B2143" s="0" t="s">
        <v>3858</v>
      </c>
      <c r="C2143" s="5">
        <f>=HYPERLINK("https://nusmods.com/modules/LSM4222#timetable","Timetable")</f>
      </c>
      <c r="D2143" s="5"/>
      <c r="E2143" s="5">
        <f>=HYPERLINK("https://luminus.nus.edu.sg/modules/359eb2d7-a4df-4125-8eb6-84d389291c92","LumiNUS course site")</f>
      </c>
      <c r="F2143" s="0" t="s">
        <v>90</v>
      </c>
      <c r="G2143" s="0" t="s">
        <v>3793</v>
      </c>
      <c r="H2143" s="3">
        <v>27</v>
      </c>
    </row>
    <row r="2144">
      <c r="A2144" s="0" t="s">
        <v>3859</v>
      </c>
      <c r="B2144" s="0" t="s">
        <v>3860</v>
      </c>
      <c r="C2144" s="5">
        <f>=HYPERLINK("https://nusmods.com/modules/LSM4223#timetable","Timetable")</f>
      </c>
      <c r="D2144" s="5"/>
      <c r="E2144" s="5">
        <f>=HYPERLINK("https://luminus.nus.edu.sg/modules/0826fe63-bc0a-4962-b126-d095823781d8","LumiNUS course site")</f>
      </c>
      <c r="F2144" s="0" t="s">
        <v>90</v>
      </c>
      <c r="G2144" s="0" t="s">
        <v>3793</v>
      </c>
      <c r="H2144" s="3">
        <v>31</v>
      </c>
    </row>
    <row r="2145">
      <c r="A2145" s="0" t="s">
        <v>3861</v>
      </c>
      <c r="B2145" s="0" t="s">
        <v>3862</v>
      </c>
      <c r="C2145" s="5">
        <f>=HYPERLINK("https://nusmods.com/modules/LSM4226#timetable","Timetable")</f>
      </c>
      <c r="D2145" s="5"/>
      <c r="E2145" s="5">
        <f>=HYPERLINK("https://luminus.nus.edu.sg/modules/24ae45bd-5e43-4661-904c-b7e92b971db9","LumiNUS course site")</f>
      </c>
      <c r="F2145" s="0" t="s">
        <v>90</v>
      </c>
      <c r="G2145" s="0" t="s">
        <v>3793</v>
      </c>
      <c r="H2145" s="3">
        <v>50</v>
      </c>
    </row>
    <row r="2146">
      <c r="A2146" s="0" t="s">
        <v>3863</v>
      </c>
      <c r="B2146" s="0" t="s">
        <v>3864</v>
      </c>
      <c r="C2146" s="5">
        <f>=HYPERLINK("https://nusmods.com/modules/LSM4227#timetable","Timetable")</f>
      </c>
      <c r="D2146" s="5"/>
      <c r="E2146" s="5">
        <f>=HYPERLINK("https://luminus.nus.edu.sg/modules/40b51460-43ce-4400-8aca-b285bc18b19a","LumiNUS course site")</f>
      </c>
      <c r="F2146" s="0" t="s">
        <v>266</v>
      </c>
      <c r="G2146" s="0" t="s">
        <v>267</v>
      </c>
      <c r="H2146" s="3">
        <v>28</v>
      </c>
    </row>
    <row r="2147">
      <c r="A2147" s="0" t="s">
        <v>3865</v>
      </c>
      <c r="B2147" s="0" t="s">
        <v>3866</v>
      </c>
      <c r="C2147" s="5">
        <f>=HYPERLINK("https://nusmods.com/modules/LSM4228#timetable","Timetable")</f>
      </c>
      <c r="D2147" s="5"/>
      <c r="E2147" s="5">
        <f>=HYPERLINK("https://luminus.nus.edu.sg/modules/acf95126-cfe4-4be6-99cc-8f719d2d576a","LumiNUS course site")</f>
      </c>
      <c r="F2147" s="0" t="s">
        <v>266</v>
      </c>
      <c r="G2147" s="0" t="s">
        <v>267</v>
      </c>
      <c r="H2147" s="3">
        <v>35</v>
      </c>
    </row>
    <row r="2148">
      <c r="A2148" s="0" t="s">
        <v>3867</v>
      </c>
      <c r="B2148" s="0" t="s">
        <v>3868</v>
      </c>
      <c r="C2148" s="5">
        <f>=HYPERLINK("https://nusmods.com/modules/LSM4232#timetable","Timetable")</f>
      </c>
      <c r="D2148" s="5">
        <f>=HYPERLINK("https://canvas.nus.edu.sg/courses/24096","Canvas course site")</f>
      </c>
      <c r="E2148" s="5"/>
      <c r="F2148" s="0" t="s">
        <v>90</v>
      </c>
      <c r="G2148" s="0" t="s">
        <v>91</v>
      </c>
      <c r="H2148" s="3">
        <v>34</v>
      </c>
    </row>
    <row r="2149">
      <c r="A2149" s="0" t="s">
        <v>3869</v>
      </c>
      <c r="B2149" s="0" t="s">
        <v>3870</v>
      </c>
      <c r="C2149" s="5">
        <f>=HYPERLINK("https://nusmods.com/modules/LSM4242#timetable","Timetable")</f>
      </c>
      <c r="D2149" s="5"/>
      <c r="E2149" s="5">
        <f>=HYPERLINK("https://luminus.nus.edu.sg/modules/2be39f38-e123-4dd9-b558-85625bf3119b","LumiNUS course site")</f>
      </c>
      <c r="F2149" s="0" t="s">
        <v>266</v>
      </c>
      <c r="G2149" s="0" t="s">
        <v>267</v>
      </c>
      <c r="H2149" s="3">
        <v>19</v>
      </c>
    </row>
    <row r="2150">
      <c r="A2150" s="0" t="s">
        <v>3871</v>
      </c>
      <c r="B2150" s="0" t="s">
        <v>3872</v>
      </c>
      <c r="C2150" s="5">
        <f>=HYPERLINK("https://nusmods.com/modules/LSM4243#timetable","Timetable")</f>
      </c>
      <c r="D2150" s="5">
        <f>=HYPERLINK("https://canvas.nus.edu.sg/courses/24106","Canvas course site")</f>
      </c>
      <c r="E2150" s="5"/>
      <c r="F2150" s="0" t="s">
        <v>90</v>
      </c>
      <c r="G2150" s="0" t="s">
        <v>91</v>
      </c>
      <c r="H2150" s="3">
        <v>50</v>
      </c>
    </row>
    <row r="2151">
      <c r="A2151" s="0" t="s">
        <v>3873</v>
      </c>
      <c r="B2151" s="0" t="s">
        <v>3874</v>
      </c>
      <c r="C2151" s="5">
        <f>=HYPERLINK("https://nusmods.com/modules/LSM4251#timetable","Timetable")</f>
      </c>
      <c r="D2151" s="5"/>
      <c r="E2151" s="5">
        <f>=HYPERLINK("https://luminus.nus.edu.sg/modules/61596db5-0540-48d8-be0f-d344a82a6372","LumiNUS course site")</f>
      </c>
      <c r="F2151" s="0" t="s">
        <v>266</v>
      </c>
      <c r="G2151" s="0" t="s">
        <v>267</v>
      </c>
      <c r="H2151" s="3">
        <v>10</v>
      </c>
    </row>
    <row r="2152">
      <c r="A2152" s="0" t="s">
        <v>3875</v>
      </c>
      <c r="B2152" s="0" t="s">
        <v>3876</v>
      </c>
      <c r="C2152" s="5">
        <f>=HYPERLINK("https://nusmods.com/modules/LSM4256#timetable","Timetable")</f>
      </c>
      <c r="D2152" s="5">
        <f>=HYPERLINK("https://canvas.nus.edu.sg/courses/24115","Canvas course site")</f>
      </c>
      <c r="E2152" s="5"/>
      <c r="F2152" s="0" t="s">
        <v>266</v>
      </c>
      <c r="G2152" s="0" t="s">
        <v>267</v>
      </c>
      <c r="H2152" s="3">
        <v>8</v>
      </c>
    </row>
    <row r="2153">
      <c r="A2153" s="0" t="s">
        <v>3877</v>
      </c>
      <c r="B2153" s="0" t="s">
        <v>3878</v>
      </c>
      <c r="C2153" s="5">
        <f>=HYPERLINK("https://nusmods.com/modules/LSM4257#timetable","Timetable")</f>
      </c>
      <c r="D2153" s="5"/>
      <c r="E2153" s="5">
        <f>=HYPERLINK("https://luminus.nus.edu.sg/modules/3449bb50-8e9e-42d0-a141-1d853010eb24","LumiNUS course site")</f>
      </c>
      <c r="F2153" s="0" t="s">
        <v>266</v>
      </c>
      <c r="G2153" s="0" t="s">
        <v>267</v>
      </c>
      <c r="H2153" s="3">
        <v>50</v>
      </c>
    </row>
    <row r="2154">
      <c r="A2154" s="0" t="s">
        <v>3879</v>
      </c>
      <c r="B2154" s="0" t="s">
        <v>3880</v>
      </c>
      <c r="C2154" s="5">
        <f>=HYPERLINK("https://nusmods.com/modules/LSM4259#timetable","Timetable")</f>
      </c>
      <c r="D2154" s="5"/>
      <c r="E2154" s="5">
        <f>=HYPERLINK("https://luminus.nus.edu.sg/modules/2d0a013f-07f3-440a-8a70-cbb3259b6a5e","LumiNUS course site")</f>
      </c>
      <c r="F2154" s="0" t="s">
        <v>266</v>
      </c>
      <c r="G2154" s="0" t="s">
        <v>267</v>
      </c>
      <c r="H2154" s="3">
        <v>18</v>
      </c>
    </row>
    <row r="2155">
      <c r="A2155" s="0" t="s">
        <v>3881</v>
      </c>
      <c r="B2155" s="0" t="s">
        <v>3882</v>
      </c>
      <c r="C2155" s="5">
        <f>=HYPERLINK("https://nusmods.com/modules/LSM4260#timetable","Timetable")</f>
      </c>
      <c r="D2155" s="5">
        <f>=HYPERLINK("https://canvas.nus.edu.sg/courses/24125","Canvas course site")</f>
      </c>
      <c r="E2155" s="5"/>
      <c r="F2155" s="0" t="s">
        <v>266</v>
      </c>
      <c r="G2155" s="0" t="s">
        <v>267</v>
      </c>
      <c r="H2155" s="3">
        <v>16</v>
      </c>
    </row>
    <row r="2156">
      <c r="A2156" s="0" t="s">
        <v>3883</v>
      </c>
      <c r="B2156" s="0" t="s">
        <v>3884</v>
      </c>
      <c r="C2156" s="5">
        <f>=HYPERLINK("https://nusmods.com/modules/LSM4262#timetable","Timetable")</f>
      </c>
      <c r="D2156" s="5">
        <f>=HYPERLINK("https://canvas.nus.edu.sg/courses/24130","Canvas course site")</f>
      </c>
      <c r="E2156" s="5"/>
      <c r="F2156" s="0" t="s">
        <v>266</v>
      </c>
      <c r="G2156" s="0" t="s">
        <v>267</v>
      </c>
      <c r="H2156" s="3">
        <v>42</v>
      </c>
    </row>
    <row r="2157">
      <c r="A2157" s="0" t="s">
        <v>3885</v>
      </c>
      <c r="B2157" s="0" t="s">
        <v>3886</v>
      </c>
      <c r="C2157" s="5">
        <f>=HYPERLINK("https://nusmods.com/modules/LSM4267#timetable","Timetable")</f>
      </c>
      <c r="D2157" s="5"/>
      <c r="E2157" s="5">
        <f>=HYPERLINK("https://luminus.nus.edu.sg/modules/99dd57c9-d870-45bc-a2bb-892af5d3f529","LumiNUS course site")</f>
      </c>
      <c r="F2157" s="0" t="s">
        <v>266</v>
      </c>
      <c r="G2157" s="0" t="s">
        <v>267</v>
      </c>
      <c r="H2157" s="3">
        <v>11</v>
      </c>
    </row>
    <row r="2158">
      <c r="A2158" s="0" t="s">
        <v>3887</v>
      </c>
      <c r="B2158" s="0" t="s">
        <v>3888</v>
      </c>
      <c r="C2158" s="5">
        <f>=HYPERLINK("https://nusmods.com/modules/LSM4268#timetable","Timetable")</f>
      </c>
      <c r="D2158" s="5"/>
      <c r="E2158" s="5">
        <f>=HYPERLINK("https://luminus.nus.edu.sg/modules/746cd5b0-5940-43f1-b374-93ca0ec32715","LumiNUS course site")</f>
      </c>
      <c r="F2158" s="0" t="s">
        <v>266</v>
      </c>
      <c r="G2158" s="0" t="s">
        <v>267</v>
      </c>
      <c r="H2158" s="3">
        <v>19</v>
      </c>
    </row>
    <row r="2159">
      <c r="A2159" s="0" t="s">
        <v>3889</v>
      </c>
      <c r="B2159" s="0" t="s">
        <v>3890</v>
      </c>
      <c r="C2159" s="5">
        <f>=HYPERLINK("https://nusmods.com/modules/LSM4299#timetable","Timetable")</f>
      </c>
      <c r="D2159" s="5"/>
      <c r="E2159" s="5">
        <f>=HYPERLINK("https://luminus.nus.edu.sg/modules/ae1185e8-fa9c-4fb2-8d85-99d3f2ef8788","LumiNUS course site")</f>
      </c>
      <c r="F2159" s="0" t="s">
        <v>266</v>
      </c>
      <c r="G2159" s="0" t="s">
        <v>267</v>
      </c>
      <c r="H2159" s="3">
        <v>87</v>
      </c>
    </row>
    <row r="2160">
      <c r="A2160" s="0" t="s">
        <v>3891</v>
      </c>
      <c r="B2160" s="0" t="s">
        <v>3892</v>
      </c>
      <c r="C2160" s="5">
        <f>=HYPERLINK("https://nusmods.com/modules/LX5103#timetable","Timetable")</f>
      </c>
      <c r="D2160" s="5"/>
      <c r="E2160" s="5">
        <f>=HYPERLINK("https://luminus.nus.edu.sg/modules/d30a8330-4fa3-435a-8c3d-20453649c365","LumiNUS course site")</f>
      </c>
      <c r="F2160" s="0" t="s">
        <v>10</v>
      </c>
      <c r="G2160" s="0" t="s">
        <v>263</v>
      </c>
      <c r="H2160" s="3">
        <v>28</v>
      </c>
    </row>
    <row r="2161">
      <c r="A2161" s="0" t="s">
        <v>3893</v>
      </c>
      <c r="B2161" s="0" t="s">
        <v>3894</v>
      </c>
      <c r="C2161" s="5">
        <f>=HYPERLINK("https://nusmods.com/modules/MA1100#timetable","Timetable")</f>
      </c>
      <c r="D2161" s="5">
        <f>=HYPERLINK("https://canvas.nus.edu.sg/courses/24160","Canvas course site")</f>
      </c>
      <c r="E2161" s="5">
        <f>=HYPERLINK("https://luminus.nus.edu.sg/modules/bba77cba-351c-42db-9a62-881caa14cc8d","LumiNUS course site")</f>
      </c>
      <c r="F2161" s="0" t="s">
        <v>266</v>
      </c>
      <c r="G2161" s="0" t="s">
        <v>1621</v>
      </c>
      <c r="H2161" s="3">
        <v>95</v>
      </c>
    </row>
    <row r="2162">
      <c r="A2162" s="0" t="s">
        <v>3895</v>
      </c>
      <c r="B2162" s="0" t="s">
        <v>3896</v>
      </c>
      <c r="C2162" s="5">
        <f>=HYPERLINK("https://nusmods.com/modules/MA1100T#timetable","Timetable")</f>
      </c>
      <c r="D2162" s="5">
        <f>=HYPERLINK("https://canvas.nus.edu.sg/courses/24160","Canvas course site")</f>
      </c>
      <c r="E2162" s="5"/>
      <c r="F2162" s="0" t="s">
        <v>266</v>
      </c>
      <c r="G2162" s="0" t="s">
        <v>1621</v>
      </c>
      <c r="H2162" s="3">
        <v>37</v>
      </c>
    </row>
    <row r="2163">
      <c r="A2163" s="0" t="s">
        <v>3897</v>
      </c>
      <c r="B2163" s="0" t="s">
        <v>3898</v>
      </c>
      <c r="C2163" s="5">
        <f>=HYPERLINK("https://nusmods.com/modules/MA1301#timetable","Timetable")</f>
      </c>
      <c r="D2163" s="5"/>
      <c r="E2163" s="5">
        <f>=HYPERLINK("https://luminus.nus.edu.sg/modules/3ac2b6e2-c2d1-492b-a68d-d32e26b7532f","LumiNUS course site")</f>
      </c>
      <c r="F2163" s="0" t="s">
        <v>266</v>
      </c>
      <c r="G2163" s="0" t="s">
        <v>1621</v>
      </c>
      <c r="H2163" s="3">
        <v>444</v>
      </c>
    </row>
    <row r="2164">
      <c r="A2164" s="0" t="s">
        <v>3899</v>
      </c>
      <c r="B2164" s="0" t="s">
        <v>3900</v>
      </c>
      <c r="C2164" s="5">
        <f>=HYPERLINK("https://nusmods.com/modules/MA1505#timetable","Timetable")</f>
      </c>
      <c r="D2164" s="5">
        <f>=HYPERLINK("https://canvas.nus.edu.sg/courses/24170","Canvas course site")</f>
      </c>
      <c r="E2164" s="5"/>
      <c r="F2164" s="0" t="s">
        <v>266</v>
      </c>
      <c r="G2164" s="0" t="s">
        <v>1621</v>
      </c>
      <c r="H2164" s="3">
        <v>232</v>
      </c>
    </row>
    <row r="2165">
      <c r="A2165" s="0" t="s">
        <v>3901</v>
      </c>
      <c r="B2165" s="0" t="s">
        <v>3902</v>
      </c>
      <c r="C2165" s="5">
        <f>=HYPERLINK("https://nusmods.com/modules/MA1511#timetable","Timetable")</f>
      </c>
      <c r="D2165" s="5"/>
      <c r="E2165" s="5">
        <f>=HYPERLINK("https://luminus.nus.edu.sg/modules/a9754477-3c59-4024-ab6a-a7d0eb51cde2","LumiNUS course site")</f>
      </c>
      <c r="F2165" s="0" t="s">
        <v>266</v>
      </c>
      <c r="G2165" s="0" t="s">
        <v>1621</v>
      </c>
      <c r="H2165" s="3">
        <v>530</v>
      </c>
    </row>
    <row r="2166">
      <c r="A2166" s="0" t="s">
        <v>3903</v>
      </c>
      <c r="B2166" s="0" t="s">
        <v>3904</v>
      </c>
      <c r="C2166" s="5">
        <f>=HYPERLINK("https://nusmods.com/modules/MA1512#timetable","Timetable")</f>
      </c>
      <c r="D2166" s="5"/>
      <c r="E2166" s="5">
        <f>=HYPERLINK("https://luminus.nus.edu.sg/modules/2c4610f3-b85b-4c9e-a606-917ed4a91d31","LumiNUS course site")</f>
      </c>
      <c r="F2166" s="0" t="s">
        <v>266</v>
      </c>
      <c r="G2166" s="0" t="s">
        <v>1621</v>
      </c>
      <c r="H2166" s="3">
        <v>520</v>
      </c>
    </row>
    <row r="2167">
      <c r="A2167" s="0" t="s">
        <v>3905</v>
      </c>
      <c r="B2167" s="0" t="s">
        <v>3906</v>
      </c>
      <c r="C2167" s="5">
        <f>=HYPERLINK("https://nusmods.com/modules/MA1513#timetable","Timetable")</f>
      </c>
      <c r="D2167" s="5">
        <f>=HYPERLINK("https://canvas.nus.edu.sg/courses/24185","Canvas course site")</f>
      </c>
      <c r="E2167" s="5">
        <f>=HYPERLINK("https://luminus.nus.edu.sg/modules/db375041-bf8b-427f-bf11-1d9b607d6e08","LumiNUS course site")</f>
      </c>
      <c r="F2167" s="0" t="s">
        <v>266</v>
      </c>
      <c r="G2167" s="0" t="s">
        <v>1621</v>
      </c>
      <c r="H2167" s="3">
        <v>571</v>
      </c>
    </row>
    <row r="2168">
      <c r="A2168" s="0" t="s">
        <v>3907</v>
      </c>
      <c r="B2168" s="0" t="s">
        <v>3908</v>
      </c>
      <c r="C2168" s="5">
        <f>=HYPERLINK("https://nusmods.com/modules/MA1521#timetable","Timetable")</f>
      </c>
      <c r="D2168" s="5">
        <f>=HYPERLINK("https://canvas.nus.edu.sg/courses/24190","Canvas course site")</f>
      </c>
      <c r="E2168" s="5">
        <f>=HYPERLINK("https://luminus.nus.edu.sg/modules/1ddc4aeb-ef5a-416c-b0d4-c2b128e515b0","LumiNUS course site")</f>
      </c>
      <c r="F2168" s="0" t="s">
        <v>266</v>
      </c>
      <c r="G2168" s="0" t="s">
        <v>1621</v>
      </c>
      <c r="H2168" s="3">
        <v>575</v>
      </c>
    </row>
    <row r="2169">
      <c r="A2169" s="0" t="s">
        <v>3909</v>
      </c>
      <c r="B2169" s="0" t="s">
        <v>3910</v>
      </c>
      <c r="C2169" s="5">
        <f>=HYPERLINK("https://nusmods.com/modules/MA2001#timetable","Timetable")</f>
      </c>
      <c r="D2169" s="5"/>
      <c r="E2169" s="5">
        <f>=HYPERLINK("https://luminus.nus.edu.sg/modules/fffaba6c-2e03-4681-a14b-2a720af4fc5b","LumiNUS course site")</f>
      </c>
      <c r="F2169" s="0" t="s">
        <v>266</v>
      </c>
      <c r="G2169" s="0" t="s">
        <v>1621</v>
      </c>
      <c r="H2169" s="3">
        <v>1233</v>
      </c>
    </row>
    <row r="2170">
      <c r="A2170" s="0" t="s">
        <v>3911</v>
      </c>
      <c r="B2170" s="0" t="s">
        <v>3912</v>
      </c>
      <c r="C2170" s="5">
        <f>=HYPERLINK("https://nusmods.com/modules/MA2002#timetable","Timetable")</f>
      </c>
      <c r="D2170" s="5">
        <f>=HYPERLINK("https://canvas.nus.edu.sg/courses/24200","Canvas course site")</f>
      </c>
      <c r="E2170" s="5"/>
      <c r="F2170" s="0" t="s">
        <v>266</v>
      </c>
      <c r="G2170" s="0" t="s">
        <v>1621</v>
      </c>
      <c r="H2170" s="3">
        <v>465</v>
      </c>
    </row>
    <row r="2171">
      <c r="A2171" s="0" t="s">
        <v>3913</v>
      </c>
      <c r="B2171" s="0" t="s">
        <v>3914</v>
      </c>
      <c r="C2171" s="5">
        <f>=HYPERLINK("https://nusmods.com/modules/MA2101#timetable","Timetable")</f>
      </c>
      <c r="D2171" s="5">
        <f>=HYPERLINK("https://canvas.nus.edu.sg/courses/24206","Canvas course site")</f>
      </c>
      <c r="E2171" s="5">
        <f>=HYPERLINK("https://luminus.nus.edu.sg/modules/93de65e1-8b9c-4fb1-a0bf-292c90374307","LumiNUS course site")</f>
      </c>
      <c r="F2171" s="0" t="s">
        <v>266</v>
      </c>
      <c r="G2171" s="0" t="s">
        <v>1621</v>
      </c>
      <c r="H2171" s="3">
        <v>75</v>
      </c>
    </row>
    <row r="2172">
      <c r="A2172" s="0" t="s">
        <v>3915</v>
      </c>
      <c r="B2172" s="0" t="s">
        <v>3916</v>
      </c>
      <c r="C2172" s="5">
        <f>=HYPERLINK("https://nusmods.com/modules/MA2101S#timetable","Timetable")</f>
      </c>
      <c r="D2172" s="5"/>
      <c r="E2172" s="5">
        <f>=HYPERLINK("https://luminus.nus.edu.sg/modules/93de65e1-8b9c-4fb1-a0bf-292c90374307","LumiNUS course site")</f>
      </c>
      <c r="F2172" s="0" t="s">
        <v>266</v>
      </c>
      <c r="G2172" s="0" t="s">
        <v>1621</v>
      </c>
      <c r="H2172" s="3">
        <v>24</v>
      </c>
    </row>
    <row r="2173">
      <c r="A2173" s="0" t="s">
        <v>3917</v>
      </c>
      <c r="B2173" s="0" t="s">
        <v>3918</v>
      </c>
      <c r="C2173" s="5">
        <f>=HYPERLINK("https://nusmods.com/modules/MA2104#timetable","Timetable")</f>
      </c>
      <c r="D2173" s="5"/>
      <c r="E2173" s="5">
        <f>=HYPERLINK("https://luminus.nus.edu.sg/modules/fe666669-7b3d-41fc-b9cb-cecab790eb05","LumiNUS course site")</f>
      </c>
      <c r="F2173" s="0" t="s">
        <v>266</v>
      </c>
      <c r="G2173" s="0" t="s">
        <v>1621</v>
      </c>
      <c r="H2173" s="3">
        <v>146</v>
      </c>
    </row>
    <row r="2174">
      <c r="A2174" s="0" t="s">
        <v>3919</v>
      </c>
      <c r="B2174" s="0" t="s">
        <v>3920</v>
      </c>
      <c r="C2174" s="5">
        <f>=HYPERLINK("https://nusmods.com/modules/MA2108#timetable","Timetable")</f>
      </c>
      <c r="D2174" s="5">
        <f>=HYPERLINK("https://canvas.nus.edu.sg/courses/24222","Canvas course site")</f>
      </c>
      <c r="E2174" s="5"/>
      <c r="F2174" s="0" t="s">
        <v>266</v>
      </c>
      <c r="G2174" s="0" t="s">
        <v>1621</v>
      </c>
      <c r="H2174" s="3">
        <v>95</v>
      </c>
    </row>
    <row r="2175">
      <c r="A2175" s="0" t="s">
        <v>3921</v>
      </c>
      <c r="B2175" s="0" t="s">
        <v>3922</v>
      </c>
      <c r="C2175" s="5">
        <f>=HYPERLINK("https://nusmods.com/modules/MA2116#timetable","Timetable")</f>
      </c>
      <c r="D2175" s="5"/>
      <c r="E2175" s="5">
        <f>=HYPERLINK("https://luminus.nus.edu.sg/modules/1cd4da43-f7c5-43c0-aac9-04d5e82ac151","LumiNUS course site")</f>
      </c>
      <c r="F2175" s="0" t="s">
        <v>266</v>
      </c>
      <c r="G2175" s="0" t="s">
        <v>1621</v>
      </c>
      <c r="H2175" s="3">
        <v>62</v>
      </c>
    </row>
    <row r="2176">
      <c r="A2176" s="0" t="s">
        <v>3923</v>
      </c>
      <c r="B2176" s="0" t="s">
        <v>3924</v>
      </c>
      <c r="C2176" s="5">
        <f>=HYPERLINK("https://nusmods.com/modules/MA2213#timetable","Timetable")</f>
      </c>
      <c r="D2176" s="5">
        <f>=HYPERLINK("https://canvas.nus.edu.sg/courses/24227","Canvas course site")</f>
      </c>
      <c r="E2176" s="5"/>
      <c r="F2176" s="0" t="s">
        <v>266</v>
      </c>
      <c r="G2176" s="0" t="s">
        <v>1621</v>
      </c>
      <c r="H2176" s="3">
        <v>63</v>
      </c>
    </row>
    <row r="2177">
      <c r="A2177" s="0" t="s">
        <v>3925</v>
      </c>
      <c r="B2177" s="0" t="s">
        <v>3926</v>
      </c>
      <c r="C2177" s="5">
        <f>=HYPERLINK("https://nusmods.com/modules/MA2214#timetable","Timetable")</f>
      </c>
      <c r="D2177" s="5">
        <f>=HYPERLINK("https://canvas.nus.edu.sg/courses/24232","Canvas course site")</f>
      </c>
      <c r="E2177" s="5"/>
      <c r="F2177" s="0" t="s">
        <v>266</v>
      </c>
      <c r="G2177" s="0" t="s">
        <v>1621</v>
      </c>
      <c r="H2177" s="3">
        <v>52</v>
      </c>
    </row>
    <row r="2178">
      <c r="A2178" s="0" t="s">
        <v>3927</v>
      </c>
      <c r="B2178" s="0" t="s">
        <v>3928</v>
      </c>
      <c r="C2178" s="5">
        <f>=HYPERLINK("https://nusmods.com/modules/MA2288#timetable","Timetable")</f>
      </c>
      <c r="D2178" s="5"/>
      <c r="E2178" s="5"/>
      <c r="F2178" s="0" t="s">
        <v>266</v>
      </c>
      <c r="G2178" s="0" t="s">
        <v>1621</v>
      </c>
      <c r="H2178" s="3">
        <v>4</v>
      </c>
    </row>
    <row r="2179">
      <c r="A2179" s="0" t="s">
        <v>3929</v>
      </c>
      <c r="B2179" s="0" t="s">
        <v>3930</v>
      </c>
      <c r="C2179" s="5">
        <f>=HYPERLINK("https://nusmods.com/modules/MA2289#timetable","Timetable")</f>
      </c>
      <c r="D2179" s="5"/>
      <c r="E2179" s="5"/>
      <c r="F2179" s="0" t="s">
        <v>266</v>
      </c>
      <c r="G2179" s="0" t="s">
        <v>1621</v>
      </c>
      <c r="H2179" s="3">
        <v>2</v>
      </c>
    </row>
    <row r="2180">
      <c r="A2180" s="0" t="s">
        <v>3931</v>
      </c>
      <c r="B2180" s="0" t="s">
        <v>3932</v>
      </c>
      <c r="C2180" s="5">
        <f>=HYPERLINK("https://nusmods.com/modules/MA2301#timetable","Timetable")</f>
      </c>
      <c r="D2180" s="5"/>
      <c r="E2180" s="5">
        <f>=HYPERLINK("https://luminus.nus.edu.sg/modules/478d3479-2b0d-4980-87c5-54bf361db576","LumiNUS course site")</f>
      </c>
      <c r="F2180" s="0" t="s">
        <v>266</v>
      </c>
      <c r="G2180" s="0" t="s">
        <v>1621</v>
      </c>
      <c r="H2180" s="3">
        <v>21</v>
      </c>
    </row>
    <row r="2181">
      <c r="A2181" s="0" t="s">
        <v>3933</v>
      </c>
      <c r="B2181" s="0" t="s">
        <v>3934</v>
      </c>
      <c r="C2181" s="5">
        <f>=HYPERLINK("https://nusmods.com/modules/MA2311#timetable","Timetable")</f>
      </c>
      <c r="D2181" s="5"/>
      <c r="E2181" s="5">
        <f>=HYPERLINK("https://luminus.nus.edu.sg/modules/bc7af416-47f4-4f54-87c1-34258fe2e87c","LumiNUS course site")</f>
      </c>
      <c r="F2181" s="0" t="s">
        <v>266</v>
      </c>
      <c r="G2181" s="0" t="s">
        <v>1621</v>
      </c>
      <c r="H2181" s="3">
        <v>298</v>
      </c>
    </row>
    <row r="2182">
      <c r="A2182" s="0" t="s">
        <v>3935</v>
      </c>
      <c r="B2182" s="0" t="s">
        <v>1623</v>
      </c>
      <c r="C2182" s="5">
        <f>=HYPERLINK("https://nusmods.com/modules/MA2312U#timetable","Timetable")</f>
      </c>
      <c r="D2182" s="5"/>
      <c r="E2182" s="5"/>
      <c r="F2182" s="0" t="s">
        <v>266</v>
      </c>
      <c r="G2182" s="0" t="s">
        <v>1621</v>
      </c>
      <c r="H2182" s="3">
        <v>0</v>
      </c>
    </row>
    <row r="2183">
      <c r="A2183" s="0" t="s">
        <v>3936</v>
      </c>
      <c r="B2183" s="0" t="s">
        <v>3937</v>
      </c>
      <c r="C2183" s="5">
        <f>=HYPERLINK("https://nusmods.com/modules/MA3205#timetable","Timetable")</f>
      </c>
      <c r="D2183" s="5"/>
      <c r="E2183" s="5">
        <f>=HYPERLINK("https://luminus.nus.edu.sg/modules/a4d37f87-f98e-46ce-a120-c5f3fa764b23","LumiNUS course site")</f>
      </c>
      <c r="F2183" s="0" t="s">
        <v>266</v>
      </c>
      <c r="G2183" s="0" t="s">
        <v>1621</v>
      </c>
      <c r="H2183" s="3">
        <v>53</v>
      </c>
    </row>
    <row r="2184">
      <c r="A2184" s="0" t="s">
        <v>3938</v>
      </c>
      <c r="B2184" s="0" t="s">
        <v>3939</v>
      </c>
      <c r="C2184" s="5">
        <f>=HYPERLINK("https://nusmods.com/modules/MA3209#timetable","Timetable")</f>
      </c>
      <c r="D2184" s="5"/>
      <c r="E2184" s="5">
        <f>=HYPERLINK("https://luminus.nus.edu.sg/modules/3aea3028-f9e6-4f3d-ad63-237d7aaa2823","LumiNUS course site")</f>
      </c>
      <c r="F2184" s="0" t="s">
        <v>266</v>
      </c>
      <c r="G2184" s="0" t="s">
        <v>1621</v>
      </c>
      <c r="H2184" s="3">
        <v>28</v>
      </c>
    </row>
    <row r="2185">
      <c r="A2185" s="0" t="s">
        <v>3940</v>
      </c>
      <c r="B2185" s="0" t="s">
        <v>3941</v>
      </c>
      <c r="C2185" s="5">
        <f>=HYPERLINK("https://nusmods.com/modules/MA3210#timetable","Timetable")</f>
      </c>
      <c r="D2185" s="5"/>
      <c r="E2185" s="5">
        <f>=HYPERLINK("https://luminus.nus.edu.sg/modules/5da9cd2a-0209-4310-98a3-b3f490928b5b","LumiNUS course site")</f>
      </c>
      <c r="F2185" s="0" t="s">
        <v>266</v>
      </c>
      <c r="G2185" s="0" t="s">
        <v>1621</v>
      </c>
      <c r="H2185" s="3">
        <v>27</v>
      </c>
    </row>
    <row r="2186">
      <c r="A2186" s="0" t="s">
        <v>3942</v>
      </c>
      <c r="B2186" s="0" t="s">
        <v>3943</v>
      </c>
      <c r="C2186" s="5">
        <f>=HYPERLINK("https://nusmods.com/modules/MA3220#timetable","Timetable")</f>
      </c>
      <c r="D2186" s="5">
        <f>=HYPERLINK("https://canvas.nus.edu.sg/courses/24278","Canvas course site")</f>
      </c>
      <c r="E2186" s="5"/>
      <c r="F2186" s="0" t="s">
        <v>266</v>
      </c>
      <c r="G2186" s="0" t="s">
        <v>1621</v>
      </c>
      <c r="H2186" s="3">
        <v>61</v>
      </c>
    </row>
    <row r="2187">
      <c r="A2187" s="0" t="s">
        <v>3944</v>
      </c>
      <c r="B2187" s="0" t="s">
        <v>3945</v>
      </c>
      <c r="C2187" s="5">
        <f>=HYPERLINK("https://nusmods.com/modules/MA3236#timetable","Timetable")</f>
      </c>
      <c r="D2187" s="5">
        <f>=HYPERLINK("https://canvas.nus.edu.sg/courses/24284","Canvas course site")</f>
      </c>
      <c r="E2187" s="5"/>
      <c r="F2187" s="0" t="s">
        <v>266</v>
      </c>
      <c r="G2187" s="0" t="s">
        <v>1621</v>
      </c>
      <c r="H2187" s="3">
        <v>71</v>
      </c>
    </row>
    <row r="2188">
      <c r="A2188" s="0" t="s">
        <v>3946</v>
      </c>
      <c r="B2188" s="0" t="s">
        <v>3947</v>
      </c>
      <c r="C2188" s="5">
        <f>=HYPERLINK("https://nusmods.com/modules/MA3259#timetable","Timetable")</f>
      </c>
      <c r="D2188" s="5"/>
      <c r="E2188" s="5">
        <f>=HYPERLINK("https://luminus.nus.edu.sg/modules/957ca10d-f142-41ab-b674-d8386c92df6f","LumiNUS course site")</f>
      </c>
      <c r="F2188" s="0" t="s">
        <v>266</v>
      </c>
      <c r="G2188" s="0" t="s">
        <v>1621</v>
      </c>
      <c r="H2188" s="3">
        <v>34</v>
      </c>
    </row>
    <row r="2189">
      <c r="A2189" s="0" t="s">
        <v>3948</v>
      </c>
      <c r="B2189" s="0" t="s">
        <v>3949</v>
      </c>
      <c r="C2189" s="5">
        <f>=HYPERLINK("https://nusmods.com/modules/MA3264#timetable","Timetable")</f>
      </c>
      <c r="D2189" s="5"/>
      <c r="E2189" s="5">
        <f>=HYPERLINK("https://luminus.nus.edu.sg/modules/e3c42044-bda7-4712-9564-e8c9bf6b9081","LumiNUS course site")</f>
      </c>
      <c r="F2189" s="0" t="s">
        <v>266</v>
      </c>
      <c r="G2189" s="0" t="s">
        <v>1621</v>
      </c>
      <c r="H2189" s="3">
        <v>96</v>
      </c>
    </row>
    <row r="2190">
      <c r="A2190" s="0" t="s">
        <v>3950</v>
      </c>
      <c r="B2190" s="0" t="s">
        <v>3951</v>
      </c>
      <c r="C2190" s="5">
        <f>=HYPERLINK("https://nusmods.com/modules/MA3269#timetable","Timetable")</f>
      </c>
      <c r="D2190" s="5"/>
      <c r="E2190" s="5">
        <f>=HYPERLINK("https://luminus.nus.edu.sg/modules/5546a4d1-dbac-48e6-8530-0ea7b77043f0","LumiNUS course site")</f>
      </c>
      <c r="F2190" s="0" t="s">
        <v>266</v>
      </c>
      <c r="G2190" s="0" t="s">
        <v>1621</v>
      </c>
      <c r="H2190" s="3">
        <v>135</v>
      </c>
    </row>
    <row r="2191">
      <c r="A2191" s="0" t="s">
        <v>3952</v>
      </c>
      <c r="B2191" s="0" t="s">
        <v>3953</v>
      </c>
      <c r="C2191" s="5">
        <f>=HYPERLINK("https://nusmods.com/modules/MA3288#timetable","Timetable")</f>
      </c>
      <c r="D2191" s="5"/>
      <c r="E2191" s="5"/>
      <c r="F2191" s="0" t="s">
        <v>266</v>
      </c>
      <c r="G2191" s="0" t="s">
        <v>1621</v>
      </c>
      <c r="H2191" s="3">
        <v>9</v>
      </c>
    </row>
    <row r="2192">
      <c r="A2192" s="0" t="s">
        <v>3954</v>
      </c>
      <c r="B2192" s="0" t="s">
        <v>3955</v>
      </c>
      <c r="C2192" s="5">
        <f>=HYPERLINK("https://nusmods.com/modules/MA3289#timetable","Timetable")</f>
      </c>
      <c r="D2192" s="5"/>
      <c r="E2192" s="5"/>
      <c r="F2192" s="0" t="s">
        <v>266</v>
      </c>
      <c r="G2192" s="0" t="s">
        <v>1621</v>
      </c>
      <c r="H2192" s="3">
        <v>2</v>
      </c>
    </row>
    <row r="2193">
      <c r="A2193" s="0" t="s">
        <v>3956</v>
      </c>
      <c r="B2193" s="0" t="s">
        <v>3845</v>
      </c>
      <c r="C2193" s="5">
        <f>=HYPERLINK("https://nusmods.com/modules/MA3310#timetable","Timetable")</f>
      </c>
      <c r="D2193" s="5"/>
      <c r="E2193" s="5"/>
      <c r="F2193" s="0" t="s">
        <v>266</v>
      </c>
      <c r="G2193" s="0" t="s">
        <v>1621</v>
      </c>
      <c r="H2193" s="3">
        <v>0</v>
      </c>
    </row>
    <row r="2194">
      <c r="A2194" s="0" t="s">
        <v>3957</v>
      </c>
      <c r="B2194" s="0" t="s">
        <v>3845</v>
      </c>
      <c r="C2194" s="5">
        <f>=HYPERLINK("https://nusmods.com/modules/MA3311#timetable","Timetable")</f>
      </c>
      <c r="D2194" s="5"/>
      <c r="E2194" s="5"/>
      <c r="F2194" s="0" t="s">
        <v>266</v>
      </c>
      <c r="G2194" s="0" t="s">
        <v>1621</v>
      </c>
      <c r="H2194" s="3">
        <v>0</v>
      </c>
    </row>
    <row r="2195">
      <c r="A2195" s="0" t="s">
        <v>3958</v>
      </c>
      <c r="B2195" s="0" t="s">
        <v>3959</v>
      </c>
      <c r="C2195" s="5">
        <f>=HYPERLINK("https://nusmods.com/modules/MA4199#timetable","Timetable")</f>
      </c>
      <c r="D2195" s="5"/>
      <c r="E2195" s="5">
        <f>=HYPERLINK("https://luminus.nus.edu.sg/modules/2fc68980-183d-4e56-a8b4-748a6745ded1","LumiNUS course site")</f>
      </c>
      <c r="F2195" s="0" t="s">
        <v>266</v>
      </c>
      <c r="G2195" s="0" t="s">
        <v>1621</v>
      </c>
      <c r="H2195" s="3">
        <v>55</v>
      </c>
    </row>
    <row r="2196">
      <c r="A2196" s="0" t="s">
        <v>3960</v>
      </c>
      <c r="B2196" s="0" t="s">
        <v>3961</v>
      </c>
      <c r="C2196" s="5">
        <f>=HYPERLINK("https://nusmods.com/modules/MA4203#timetable","Timetable")</f>
      </c>
      <c r="D2196" s="5"/>
      <c r="E2196" s="5">
        <f>=HYPERLINK("https://luminus.nus.edu.sg/modules/c7f7eecb-92e3-408a-8744-9c7b1f0685bf","LumiNUS course site")</f>
      </c>
      <c r="F2196" s="0" t="s">
        <v>266</v>
      </c>
      <c r="G2196" s="0" t="s">
        <v>1621</v>
      </c>
      <c r="H2196" s="3">
        <v>17</v>
      </c>
    </row>
    <row r="2197">
      <c r="A2197" s="0" t="s">
        <v>3962</v>
      </c>
      <c r="B2197" s="0" t="s">
        <v>3963</v>
      </c>
      <c r="C2197" s="5">
        <f>=HYPERLINK("https://nusmods.com/modules/MA4230#timetable","Timetable")</f>
      </c>
      <c r="D2197" s="5">
        <f>=HYPERLINK("https://canvas.nus.edu.sg/courses/24341","Canvas course site")</f>
      </c>
      <c r="E2197" s="5"/>
      <c r="F2197" s="0" t="s">
        <v>266</v>
      </c>
      <c r="G2197" s="0" t="s">
        <v>1621</v>
      </c>
      <c r="H2197" s="3">
        <v>50</v>
      </c>
    </row>
    <row r="2198">
      <c r="A2198" s="0" t="s">
        <v>3964</v>
      </c>
      <c r="B2198" s="0" t="s">
        <v>3965</v>
      </c>
      <c r="C2198" s="5">
        <f>=HYPERLINK("https://nusmods.com/modules/MA4235#timetable","Timetable")</f>
      </c>
      <c r="D2198" s="5"/>
      <c r="E2198" s="5">
        <f>=HYPERLINK("https://luminus.nus.edu.sg/modules/fd612275-267f-4acc-8b14-0ff5f31f94db","LumiNUS course site")</f>
      </c>
      <c r="F2198" s="0" t="s">
        <v>266</v>
      </c>
      <c r="G2198" s="0" t="s">
        <v>1621</v>
      </c>
      <c r="H2198" s="3">
        <v>17</v>
      </c>
    </row>
    <row r="2199">
      <c r="A2199" s="0" t="s">
        <v>3966</v>
      </c>
      <c r="B2199" s="0" t="s">
        <v>3967</v>
      </c>
      <c r="C2199" s="5">
        <f>=HYPERLINK("https://nusmods.com/modules/MA4254#timetable","Timetable")</f>
      </c>
      <c r="D2199" s="5">
        <f>=HYPERLINK("https://canvas.nus.edu.sg/courses/24352","Canvas course site")</f>
      </c>
      <c r="E2199" s="5"/>
      <c r="F2199" s="0" t="s">
        <v>266</v>
      </c>
      <c r="G2199" s="0" t="s">
        <v>1621</v>
      </c>
      <c r="H2199" s="3">
        <v>48</v>
      </c>
    </row>
    <row r="2200">
      <c r="A2200" s="0" t="s">
        <v>3968</v>
      </c>
      <c r="B2200" s="0" t="s">
        <v>3969</v>
      </c>
      <c r="C2200" s="5">
        <f>=HYPERLINK("https://nusmods.com/modules/MA4262#timetable","Timetable")</f>
      </c>
      <c r="D2200" s="5"/>
      <c r="E2200" s="5">
        <f>=HYPERLINK("https://luminus.nus.edu.sg/modules/b69e811b-2811-41fe-a9ab-6c52f0a39daa","LumiNUS course site")</f>
      </c>
      <c r="F2200" s="0" t="s">
        <v>266</v>
      </c>
      <c r="G2200" s="0" t="s">
        <v>1621</v>
      </c>
      <c r="H2200" s="3">
        <v>47</v>
      </c>
    </row>
    <row r="2201">
      <c r="A2201" s="0" t="s">
        <v>3970</v>
      </c>
      <c r="B2201" s="0" t="s">
        <v>3971</v>
      </c>
      <c r="C2201" s="5">
        <f>=HYPERLINK("https://nusmods.com/modules/MA4270#timetable","Timetable")</f>
      </c>
      <c r="D2201" s="5"/>
      <c r="E2201" s="5">
        <f>=HYPERLINK("https://luminus.nus.edu.sg/modules/9d3a931b-75b7-4ce8-b082-9bb52a030c9b","LumiNUS course site")</f>
      </c>
      <c r="F2201" s="0" t="s">
        <v>266</v>
      </c>
      <c r="G2201" s="0" t="s">
        <v>1621</v>
      </c>
      <c r="H2201" s="3">
        <v>92</v>
      </c>
    </row>
    <row r="2202">
      <c r="A2202" s="0" t="s">
        <v>3972</v>
      </c>
      <c r="B2202" s="0" t="s">
        <v>3973</v>
      </c>
      <c r="C2202" s="5">
        <f>=HYPERLINK("https://nusmods.com/modules/MA5198#timetable","Timetable")</f>
      </c>
      <c r="D2202" s="5"/>
      <c r="E2202" s="5">
        <f>=HYPERLINK("https://luminus.nus.edu.sg/modules/af0eb9a1-f32c-4d6e-8baf-b4b32922cc7d","LumiNUS course site")</f>
      </c>
      <c r="F2202" s="0" t="s">
        <v>266</v>
      </c>
      <c r="G2202" s="0" t="s">
        <v>1621</v>
      </c>
      <c r="H2202" s="3">
        <v>19</v>
      </c>
    </row>
    <row r="2203">
      <c r="A2203" s="0" t="s">
        <v>3974</v>
      </c>
      <c r="B2203" s="0" t="s">
        <v>3975</v>
      </c>
      <c r="C2203" s="5">
        <f>=HYPERLINK("https://nusmods.com/modules/MA5203#timetable","Timetable")</f>
      </c>
      <c r="D2203" s="5">
        <f>=HYPERLINK("https://canvas.nus.edu.sg/courses/24371","Canvas course site")</f>
      </c>
      <c r="E2203" s="5"/>
      <c r="F2203" s="0" t="s">
        <v>266</v>
      </c>
      <c r="G2203" s="0" t="s">
        <v>1621</v>
      </c>
      <c r="H2203" s="3">
        <v>39</v>
      </c>
    </row>
    <row r="2204">
      <c r="A2204" s="0" t="s">
        <v>3976</v>
      </c>
      <c r="B2204" s="0" t="s">
        <v>3977</v>
      </c>
      <c r="C2204" s="5">
        <f>=HYPERLINK("https://nusmods.com/modules/MA5205#timetable","Timetable")</f>
      </c>
      <c r="D2204" s="5"/>
      <c r="E2204" s="5">
        <f>=HYPERLINK("https://luminus.nus.edu.sg/modules/c9446b10-d456-458b-a0ba-6473f77ab525","LumiNUS course site")</f>
      </c>
      <c r="F2204" s="0" t="s">
        <v>266</v>
      </c>
      <c r="G2204" s="0" t="s">
        <v>1621</v>
      </c>
      <c r="H2204" s="3">
        <v>29</v>
      </c>
    </row>
    <row r="2205">
      <c r="A2205" s="0" t="s">
        <v>3978</v>
      </c>
      <c r="B2205" s="0" t="s">
        <v>3979</v>
      </c>
      <c r="C2205" s="5">
        <f>=HYPERLINK("https://nusmods.com/modules/MA5210#timetable","Timetable")</f>
      </c>
      <c r="D2205" s="5">
        <f>=HYPERLINK("https://canvas.nus.edu.sg/courses/24381","Canvas course site")</f>
      </c>
      <c r="E2205" s="5">
        <f>=HYPERLINK("https://luminus.nus.edu.sg/modules/f62fdc86-9271-4b50-8acd-50e452238038","LumiNUS course site")</f>
      </c>
      <c r="F2205" s="0" t="s">
        <v>266</v>
      </c>
      <c r="G2205" s="0" t="s">
        <v>1621</v>
      </c>
      <c r="H2205" s="3">
        <v>21</v>
      </c>
    </row>
    <row r="2206">
      <c r="A2206" s="0" t="s">
        <v>3980</v>
      </c>
      <c r="B2206" s="0" t="s">
        <v>3981</v>
      </c>
      <c r="C2206" s="5">
        <f>=HYPERLINK("https://nusmods.com/modules/MA5211#timetable","Timetable")</f>
      </c>
      <c r="D2206" s="5">
        <f>=HYPERLINK("https://canvas.nus.edu.sg/courses/24386","Canvas course site")</f>
      </c>
      <c r="E2206" s="5"/>
      <c r="F2206" s="0" t="s">
        <v>266</v>
      </c>
      <c r="G2206" s="0" t="s">
        <v>1621</v>
      </c>
      <c r="H2206" s="3">
        <v>19</v>
      </c>
    </row>
    <row r="2207">
      <c r="A2207" s="0" t="s">
        <v>3982</v>
      </c>
      <c r="B2207" s="0" t="s">
        <v>3983</v>
      </c>
      <c r="C2207" s="5">
        <f>=HYPERLINK("https://nusmods.com/modules/MA5217#timetable","Timetable")</f>
      </c>
      <c r="D2207" s="5"/>
      <c r="E2207" s="5">
        <f>=HYPERLINK("https://luminus.nus.edu.sg/modules/b48ce0a5-af14-4fe1-bca5-b9032a3f0a0c","LumiNUS course site")</f>
      </c>
      <c r="F2207" s="0" t="s">
        <v>266</v>
      </c>
      <c r="G2207" s="0" t="s">
        <v>1621</v>
      </c>
      <c r="H2207" s="3">
        <v>34</v>
      </c>
    </row>
    <row r="2208">
      <c r="A2208" s="0" t="s">
        <v>3984</v>
      </c>
      <c r="B2208" s="0" t="s">
        <v>3985</v>
      </c>
      <c r="C2208" s="5">
        <f>=HYPERLINK("https://nusmods.com/modules/MA5219#timetable","Timetable")</f>
      </c>
      <c r="D2208" s="5">
        <f>=HYPERLINK("https://canvas.nus.edu.sg/courses/24397","Canvas course site")</f>
      </c>
      <c r="E2208" s="5"/>
      <c r="F2208" s="0" t="s">
        <v>266</v>
      </c>
      <c r="G2208" s="0" t="s">
        <v>1621</v>
      </c>
      <c r="H2208" s="3">
        <v>16</v>
      </c>
    </row>
    <row r="2209">
      <c r="A2209" s="0" t="s">
        <v>3986</v>
      </c>
      <c r="B2209" s="0" t="s">
        <v>3987</v>
      </c>
      <c r="C2209" s="5">
        <f>=HYPERLINK("https://nusmods.com/modules/MA5233#timetable","Timetable")</f>
      </c>
      <c r="D2209" s="5"/>
      <c r="E2209" s="5">
        <f>=HYPERLINK("https://luminus.nus.edu.sg/modules/a86a2306-9e5b-498a-b6e0-52f649a68e08","LumiNUS course site")</f>
      </c>
      <c r="F2209" s="0" t="s">
        <v>266</v>
      </c>
      <c r="G2209" s="0" t="s">
        <v>1621</v>
      </c>
      <c r="H2209" s="3">
        <v>87</v>
      </c>
    </row>
    <row r="2210">
      <c r="A2210" s="0" t="s">
        <v>3988</v>
      </c>
      <c r="B2210" s="0" t="s">
        <v>3989</v>
      </c>
      <c r="C2210" s="5">
        <f>=HYPERLINK("https://nusmods.com/modules/MA5243#timetable","Timetable")</f>
      </c>
      <c r="D2210" s="5"/>
      <c r="E2210" s="5">
        <f>=HYPERLINK("https://luminus.nus.edu.sg/modules/495e5bb9-e8d5-4d92-9598-a337bfd59cef","LumiNUS course site")</f>
      </c>
      <c r="F2210" s="0" t="s">
        <v>266</v>
      </c>
      <c r="G2210" s="0" t="s">
        <v>1621</v>
      </c>
      <c r="H2210" s="3">
        <v>41</v>
      </c>
    </row>
    <row r="2211">
      <c r="A2211" s="0" t="s">
        <v>3990</v>
      </c>
      <c r="B2211" s="0" t="s">
        <v>3991</v>
      </c>
      <c r="C2211" s="5">
        <f>=HYPERLINK("https://nusmods.com/modules/MA5248#timetable","Timetable")</f>
      </c>
      <c r="D2211" s="5">
        <f>=HYPERLINK("https://canvas.nus.edu.sg/courses/24410","Canvas course site")</f>
      </c>
      <c r="E2211" s="5">
        <f>=HYPERLINK("https://luminus.nus.edu.sg/modules/0f0d8063-5182-4c3b-8513-c6bedc6eac71","LumiNUS course site")</f>
      </c>
      <c r="F2211" s="0" t="s">
        <v>266</v>
      </c>
      <c r="G2211" s="0" t="s">
        <v>1621</v>
      </c>
      <c r="H2211" s="3">
        <v>192</v>
      </c>
    </row>
    <row r="2212">
      <c r="A2212" s="0" t="s">
        <v>3992</v>
      </c>
      <c r="B2212" s="0" t="s">
        <v>3991</v>
      </c>
      <c r="C2212" s="5">
        <f>=HYPERLINK("https://nusmods.com/modules/MA5248A#timetable","Timetable")</f>
      </c>
      <c r="D2212" s="5"/>
      <c r="E2212" s="5">
        <f>=HYPERLINK("https://luminus.nus.edu.sg/modules/0f0d8063-5182-4c3b-8513-c6bedc6eac71","LumiNUS course site")</f>
      </c>
      <c r="F2212" s="0" t="s">
        <v>266</v>
      </c>
      <c r="G2212" s="0" t="s">
        <v>1621</v>
      </c>
      <c r="H2212" s="3">
        <v>30</v>
      </c>
    </row>
    <row r="2213">
      <c r="A2213" s="0" t="s">
        <v>3993</v>
      </c>
      <c r="B2213" s="0" t="s">
        <v>3994</v>
      </c>
      <c r="C2213" s="5">
        <f>=HYPERLINK("https://nusmods.com/modules/MA5249#timetable","Timetable")</f>
      </c>
      <c r="D2213" s="5"/>
      <c r="E2213" s="5">
        <f>=HYPERLINK("https://luminus.nus.edu.sg/modules/ff13a497-9db3-4146-bea3-54b7a53dc848","LumiNUS course site")</f>
      </c>
      <c r="F2213" s="0" t="s">
        <v>266</v>
      </c>
      <c r="G2213" s="0" t="s">
        <v>1621</v>
      </c>
      <c r="H2213" s="3">
        <v>43</v>
      </c>
    </row>
    <row r="2214">
      <c r="A2214" s="0" t="s">
        <v>3995</v>
      </c>
      <c r="B2214" s="0" t="s">
        <v>3996</v>
      </c>
      <c r="C2214" s="5">
        <f>=HYPERLINK("https://nusmods.com/modules/MA5252#timetable","Timetable")</f>
      </c>
      <c r="D2214" s="5"/>
      <c r="E2214" s="5">
        <f>=HYPERLINK("https://luminus.nus.edu.sg/modules/2b86cac9-430b-4cdc-9d59-43f87585e1fb","LumiNUS course site")</f>
      </c>
      <c r="F2214" s="0" t="s">
        <v>266</v>
      </c>
      <c r="G2214" s="0" t="s">
        <v>1621</v>
      </c>
      <c r="H2214" s="3">
        <v>48</v>
      </c>
    </row>
    <row r="2215">
      <c r="A2215" s="0" t="s">
        <v>3997</v>
      </c>
      <c r="B2215" s="0" t="s">
        <v>3998</v>
      </c>
      <c r="C2215" s="5">
        <f>=HYPERLINK("https://nusmods.com/modules/MA5295#timetable","Timetable")</f>
      </c>
      <c r="D2215" s="5"/>
      <c r="E2215" s="5">
        <f>=HYPERLINK("https://luminus.nus.edu.sg/modules/28dbefec-8233-4f1e-9ab4-b457c9d20ccb","LumiNUS course site")</f>
      </c>
      <c r="F2215" s="0" t="s">
        <v>266</v>
      </c>
      <c r="G2215" s="0" t="s">
        <v>1621</v>
      </c>
      <c r="H2215" s="3">
        <v>19</v>
      </c>
    </row>
    <row r="2216">
      <c r="A2216" s="0" t="s">
        <v>3999</v>
      </c>
      <c r="B2216" s="0" t="s">
        <v>4000</v>
      </c>
      <c r="C2216" s="5">
        <f>=HYPERLINK("https://nusmods.com/modules/MA5401#timetable","Timetable")</f>
      </c>
      <c r="D2216" s="5"/>
      <c r="E2216" s="5"/>
      <c r="F2216" s="0" t="s">
        <v>266</v>
      </c>
      <c r="G2216" s="0" t="s">
        <v>1621</v>
      </c>
      <c r="H2216" s="3">
        <v>0</v>
      </c>
    </row>
    <row r="2217">
      <c r="A2217" s="0" t="s">
        <v>4001</v>
      </c>
      <c r="B2217" s="0" t="s">
        <v>4002</v>
      </c>
      <c r="C2217" s="5">
        <f>=HYPERLINK("https://nusmods.com/modules/MA5402#timetable","Timetable")</f>
      </c>
      <c r="D2217" s="5"/>
      <c r="E2217" s="5">
        <f>=HYPERLINK("https://luminus.nus.edu.sg/modules/d9dacdde-47ec-4885-aa82-5a86cc62a7f9","LumiNUS course site")</f>
      </c>
      <c r="F2217" s="0" t="s">
        <v>266</v>
      </c>
      <c r="G2217" s="0" t="s">
        <v>1621</v>
      </c>
      <c r="H2217" s="3">
        <v>2</v>
      </c>
    </row>
    <row r="2218">
      <c r="A2218" s="0" t="s">
        <v>4003</v>
      </c>
      <c r="B2218" s="0" t="s">
        <v>4004</v>
      </c>
      <c r="C2218" s="5">
        <f>=HYPERLINK("https://nusmods.com/modules/MA6205#timetable","Timetable")</f>
      </c>
      <c r="D2218" s="5">
        <f>=HYPERLINK("https://canvas.nus.edu.sg/courses/35442","Canvas course site")</f>
      </c>
      <c r="E2218" s="5">
        <f>=HYPERLINK("https://luminus.nus.edu.sg/modules/01074428-c017-46bd-9c36-bf0292b7b33a","LumiNUS course site")</f>
      </c>
      <c r="F2218" s="0" t="s">
        <v>266</v>
      </c>
      <c r="G2218" s="0" t="s">
        <v>1621</v>
      </c>
      <c r="H2218" s="3">
        <v>3</v>
      </c>
    </row>
    <row r="2219">
      <c r="A2219" s="0" t="s">
        <v>4005</v>
      </c>
      <c r="B2219" s="0" t="s">
        <v>4006</v>
      </c>
      <c r="C2219" s="5">
        <f>=HYPERLINK("https://nusmods.com/modules/MA6221#timetable","Timetable")</f>
      </c>
      <c r="D2219" s="5"/>
      <c r="E2219" s="5"/>
      <c r="F2219" s="0" t="s">
        <v>266</v>
      </c>
      <c r="G2219" s="0" t="s">
        <v>1621</v>
      </c>
      <c r="H2219" s="3">
        <v>5</v>
      </c>
    </row>
    <row r="2220">
      <c r="A2220" s="0" t="s">
        <v>4007</v>
      </c>
      <c r="B2220" s="0" t="s">
        <v>4008</v>
      </c>
      <c r="C2220" s="5">
        <f>=HYPERLINK("https://nusmods.com/modules/MA6223#timetable","Timetable")</f>
      </c>
      <c r="D2220" s="5"/>
      <c r="E2220" s="5">
        <f>=HYPERLINK("https://luminus.nus.edu.sg/modules/37896c7b-689a-4f66-a8fe-6906281b5a76","LumiNUS course site")</f>
      </c>
      <c r="F2220" s="0" t="s">
        <v>266</v>
      </c>
      <c r="G2220" s="0" t="s">
        <v>1621</v>
      </c>
      <c r="H2220" s="3">
        <v>5</v>
      </c>
    </row>
    <row r="2221">
      <c r="A2221" s="0" t="s">
        <v>4009</v>
      </c>
      <c r="B2221" s="0" t="s">
        <v>4010</v>
      </c>
      <c r="C2221" s="5">
        <f>=HYPERLINK("https://nusmods.com/modules/MA6293#timetable","Timetable")</f>
      </c>
      <c r="D2221" s="5">
        <f>=HYPERLINK("https://canvas.nus.edu.sg/courses/35443","Canvas course site")</f>
      </c>
      <c r="E2221" s="5"/>
      <c r="F2221" s="0" t="s">
        <v>266</v>
      </c>
      <c r="G2221" s="0" t="s">
        <v>1621</v>
      </c>
      <c r="H2221" s="3">
        <v>3</v>
      </c>
    </row>
    <row r="2222">
      <c r="A2222" s="0" t="s">
        <v>4011</v>
      </c>
      <c r="B2222" s="0" t="s">
        <v>4012</v>
      </c>
      <c r="C2222" s="5">
        <f>=HYPERLINK("https://nusmods.com/modules/MB5101#timetable","Timetable")</f>
      </c>
      <c r="D2222" s="5">
        <f>=HYPERLINK("https://canvas.nus.edu.sg/courses/24444","Canvas course site")</f>
      </c>
      <c r="E2222" s="5"/>
      <c r="F2222" s="0" t="s">
        <v>4013</v>
      </c>
      <c r="G2222" s="0" t="s">
        <v>4013</v>
      </c>
      <c r="H2222" s="3">
        <v>14</v>
      </c>
    </row>
    <row r="2223">
      <c r="A2223" s="0" t="s">
        <v>4014</v>
      </c>
      <c r="B2223" s="0" t="s">
        <v>4015</v>
      </c>
      <c r="C2223" s="5">
        <f>=HYPERLINK("https://nusmods.com/modules/MB5103#timetable","Timetable")</f>
      </c>
      <c r="D2223" s="5">
        <f>=HYPERLINK("https://canvas.nus.edu.sg/courses/26168","Canvas course site")</f>
      </c>
      <c r="E2223" s="5"/>
      <c r="F2223" s="0" t="s">
        <v>4013</v>
      </c>
      <c r="G2223" s="0" t="s">
        <v>4013</v>
      </c>
      <c r="H2223" s="3">
        <v>15</v>
      </c>
    </row>
    <row r="2224">
      <c r="A2224" s="0" t="s">
        <v>4016</v>
      </c>
      <c r="B2224" s="0" t="s">
        <v>4017</v>
      </c>
      <c r="C2224" s="5">
        <f>=HYPERLINK("https://nusmods.com/modules/MB5104#timetable","Timetable")</f>
      </c>
      <c r="D2224" s="5">
        <f>=HYPERLINK("https://canvas.nus.edu.sg/courses/26169","Canvas course site")</f>
      </c>
      <c r="E2224" s="5">
        <f>=HYPERLINK("https://luminus.nus.edu.sg/modules/22668ac8-a169-4d28-ae62-a488b12fa0cc","LumiNUS course site")</f>
      </c>
      <c r="F2224" s="0" t="s">
        <v>4013</v>
      </c>
      <c r="G2224" s="0" t="s">
        <v>4013</v>
      </c>
      <c r="H2224" s="3">
        <v>32</v>
      </c>
    </row>
    <row r="2225">
      <c r="A2225" s="0" t="s">
        <v>4018</v>
      </c>
      <c r="B2225" s="0" t="s">
        <v>4019</v>
      </c>
      <c r="C2225" s="5">
        <f>=HYPERLINK("https://nusmods.com/modules/MCI5001#timetable","Timetable")</f>
      </c>
      <c r="D2225" s="5"/>
      <c r="E2225" s="5">
        <f>=HYPERLINK("https://luminus.nus.edu.sg/modules/720bd357-3128-4c15-bd6d-0ef9b0a48c68","LumiNUS course site")</f>
      </c>
      <c r="F2225" s="0" t="s">
        <v>90</v>
      </c>
      <c r="G2225" s="0" t="s">
        <v>785</v>
      </c>
      <c r="H2225" s="3">
        <v>17</v>
      </c>
    </row>
    <row r="2226">
      <c r="A2226" s="0" t="s">
        <v>4020</v>
      </c>
      <c r="B2226" s="0" t="s">
        <v>4021</v>
      </c>
      <c r="C2226" s="5">
        <f>=HYPERLINK("https://nusmods.com/modules/MCI5002#timetable","Timetable")</f>
      </c>
      <c r="D2226" s="5"/>
      <c r="E2226" s="5"/>
      <c r="F2226" s="0" t="s">
        <v>90</v>
      </c>
      <c r="G2226" s="0" t="s">
        <v>785</v>
      </c>
      <c r="H2226" s="3">
        <v>16</v>
      </c>
    </row>
    <row r="2227">
      <c r="A2227" s="0" t="s">
        <v>4022</v>
      </c>
      <c r="B2227" s="0" t="s">
        <v>4023</v>
      </c>
      <c r="C2227" s="5">
        <f>=HYPERLINK("https://nusmods.com/modules/MCI5003#timetable","Timetable")</f>
      </c>
      <c r="D2227" s="5"/>
      <c r="E2227" s="5"/>
      <c r="F2227" s="0" t="s">
        <v>90</v>
      </c>
      <c r="G2227" s="0" t="s">
        <v>785</v>
      </c>
      <c r="H2227" s="3">
        <v>16</v>
      </c>
    </row>
    <row r="2228">
      <c r="A2228" s="0" t="s">
        <v>4024</v>
      </c>
      <c r="B2228" s="0" t="s">
        <v>4025</v>
      </c>
      <c r="C2228" s="5">
        <f>=HYPERLINK("https://nusmods.com/modules/MCI5004#timetable","Timetable")</f>
      </c>
      <c r="D2228" s="5"/>
      <c r="E2228" s="5"/>
      <c r="F2228" s="0" t="s">
        <v>90</v>
      </c>
      <c r="G2228" s="0" t="s">
        <v>785</v>
      </c>
      <c r="H2228" s="3">
        <v>16</v>
      </c>
    </row>
    <row r="2229">
      <c r="A2229" s="0" t="s">
        <v>4026</v>
      </c>
      <c r="B2229" s="0" t="s">
        <v>4027</v>
      </c>
      <c r="C2229" s="5">
        <f>=HYPERLINK("https://nusmods.com/modules/MCI5005#timetable","Timetable")</f>
      </c>
      <c r="D2229" s="5"/>
      <c r="E2229" s="5"/>
      <c r="F2229" s="0" t="s">
        <v>90</v>
      </c>
      <c r="G2229" s="0" t="s">
        <v>785</v>
      </c>
      <c r="H2229" s="3">
        <v>16</v>
      </c>
    </row>
    <row r="2230">
      <c r="A2230" s="0" t="s">
        <v>4028</v>
      </c>
      <c r="B2230" s="0" t="s">
        <v>820</v>
      </c>
      <c r="C2230" s="5">
        <f>=HYPERLINK("https://nusmods.com/modules/MCI5008#timetable","Timetable")</f>
      </c>
      <c r="D2230" s="5"/>
      <c r="E2230" s="5"/>
      <c r="F2230" s="0" t="s">
        <v>90</v>
      </c>
      <c r="G2230" s="0" t="s">
        <v>785</v>
      </c>
      <c r="H2230" s="3">
        <v>36</v>
      </c>
    </row>
    <row r="2231">
      <c r="A2231" s="0" t="s">
        <v>4029</v>
      </c>
      <c r="B2231" s="0" t="s">
        <v>4030</v>
      </c>
      <c r="C2231" s="5">
        <f>=HYPERLINK("https://nusmods.com/modules/MDG5108#timetable","Timetable")</f>
      </c>
      <c r="D2231" s="5"/>
      <c r="E2231" s="5">
        <f>=HYPERLINK("https://luminus.nus.edu.sg/modules/be84ee93-97a6-4bd1-9984-cde6c63ac278","LumiNUS course site")</f>
      </c>
      <c r="F2231" s="0" t="s">
        <v>90</v>
      </c>
      <c r="G2231" s="0" t="s">
        <v>785</v>
      </c>
      <c r="H2231" s="3">
        <v>123</v>
      </c>
    </row>
    <row r="2232">
      <c r="A2232" s="0" t="s">
        <v>4031</v>
      </c>
      <c r="B2232" s="0" t="s">
        <v>4032</v>
      </c>
      <c r="C2232" s="5">
        <f>=HYPERLINK("https://nusmods.com/modules/MDG5204#timetable","Timetable")</f>
      </c>
      <c r="D2232" s="5">
        <f>=HYPERLINK("https://canvas.nus.edu.sg/courses/24487","Canvas course site")</f>
      </c>
      <c r="E2232" s="5">
        <f>=HYPERLINK("https://luminus.nus.edu.sg/modules/746b2600-2f59-44f3-bb6b-fc31aea723d2","LumiNUS course site")</f>
      </c>
      <c r="F2232" s="0" t="s">
        <v>90</v>
      </c>
      <c r="G2232" s="0" t="s">
        <v>785</v>
      </c>
      <c r="H2232" s="3">
        <v>6</v>
      </c>
    </row>
    <row r="2233">
      <c r="A2233" s="0" t="s">
        <v>4033</v>
      </c>
      <c r="B2233" s="0" t="s">
        <v>4034</v>
      </c>
      <c r="C2233" s="5">
        <f>=HYPERLINK("https://nusmods.com/modules/MDG5214#timetable","Timetable")</f>
      </c>
      <c r="D2233" s="5"/>
      <c r="E2233" s="5">
        <f>=HYPERLINK("https://luminus.nus.edu.sg/modules/f84d167d-e1b4-4300-aac4-0392e86cfeae","LumiNUS course site")</f>
      </c>
      <c r="F2233" s="0" t="s">
        <v>90</v>
      </c>
      <c r="G2233" s="0" t="s">
        <v>785</v>
      </c>
      <c r="H2233" s="3">
        <v>23</v>
      </c>
    </row>
    <row r="2234">
      <c r="A2234" s="0" t="s">
        <v>4035</v>
      </c>
      <c r="B2234" s="0" t="s">
        <v>4036</v>
      </c>
      <c r="C2234" s="5">
        <f>=HYPERLINK("https://nusmods.com/modules/MDG5215#timetable","Timetable")</f>
      </c>
      <c r="D2234" s="5">
        <f>=HYPERLINK("https://canvas.nus.edu.sg/courses/24499","Canvas course site")</f>
      </c>
      <c r="E2234" s="5"/>
      <c r="F2234" s="0" t="s">
        <v>90</v>
      </c>
      <c r="G2234" s="0" t="s">
        <v>785</v>
      </c>
      <c r="H2234" s="3">
        <v>0</v>
      </c>
    </row>
    <row r="2235">
      <c r="A2235" s="0" t="s">
        <v>4037</v>
      </c>
      <c r="B2235" s="0" t="s">
        <v>4038</v>
      </c>
      <c r="C2235" s="5">
        <f>=HYPERLINK("https://nusmods.com/modules/MDG5218#timetable","Timetable")</f>
      </c>
      <c r="D2235" s="5"/>
      <c r="E2235" s="5">
        <f>=HYPERLINK("https://luminus.nus.edu.sg/modules/005dbc8a-fa01-4b37-a8ba-5d08c1160099","LumiNUS course site")</f>
      </c>
      <c r="F2235" s="0" t="s">
        <v>90</v>
      </c>
      <c r="G2235" s="0" t="s">
        <v>785</v>
      </c>
      <c r="H2235" s="3">
        <v>17</v>
      </c>
    </row>
    <row r="2236">
      <c r="A2236" s="0" t="s">
        <v>4039</v>
      </c>
      <c r="B2236" s="0" t="s">
        <v>4040</v>
      </c>
      <c r="C2236" s="5">
        <f>=HYPERLINK("https://nusmods.com/modules/MDG5221#timetable","Timetable")</f>
      </c>
      <c r="D2236" s="5"/>
      <c r="E2236" s="5">
        <f>=HYPERLINK("https://luminus.nus.edu.sg/modules/7c8abdc1-7fe8-47d2-b50c-96353976ebd2","LumiNUS course site")</f>
      </c>
      <c r="F2236" s="0" t="s">
        <v>90</v>
      </c>
      <c r="G2236" s="0" t="s">
        <v>785</v>
      </c>
      <c r="H2236" s="3">
        <v>12</v>
      </c>
    </row>
    <row r="2237">
      <c r="A2237" s="0" t="s">
        <v>4041</v>
      </c>
      <c r="B2237" s="0" t="s">
        <v>4042</v>
      </c>
      <c r="C2237" s="5">
        <f>=HYPERLINK("https://nusmods.com/modules/MDG5223#timetable","Timetable")</f>
      </c>
      <c r="D2237" s="5"/>
      <c r="E2237" s="5">
        <f>=HYPERLINK("https://luminus.nus.edu.sg/modules/bd1e6213-f537-42d9-870e-b54b4cc6fbeb","LumiNUS course site")</f>
      </c>
      <c r="F2237" s="0" t="s">
        <v>90</v>
      </c>
      <c r="G2237" s="0" t="s">
        <v>785</v>
      </c>
      <c r="H2237" s="3">
        <v>12</v>
      </c>
    </row>
    <row r="2238">
      <c r="A2238" s="0" t="s">
        <v>4043</v>
      </c>
      <c r="B2238" s="0" t="s">
        <v>4044</v>
      </c>
      <c r="C2238" s="5">
        <f>=HYPERLINK("https://nusmods.com/modules/MDG5226#timetable","Timetable")</f>
      </c>
      <c r="D2238" s="5"/>
      <c r="E2238" s="5">
        <f>=HYPERLINK("https://luminus.nus.edu.sg/modules/277b5127-351a-4436-8931-a2f6e2fab9bd","LumiNUS course site")</f>
      </c>
      <c r="F2238" s="0" t="s">
        <v>90</v>
      </c>
      <c r="G2238" s="0" t="s">
        <v>785</v>
      </c>
      <c r="H2238" s="3">
        <v>12</v>
      </c>
    </row>
    <row r="2239">
      <c r="A2239" s="0" t="s">
        <v>4045</v>
      </c>
      <c r="B2239" s="0" t="s">
        <v>4046</v>
      </c>
      <c r="C2239" s="5">
        <f>=HYPERLINK("https://nusmods.com/modules/MDG5229#timetable","Timetable")</f>
      </c>
      <c r="D2239" s="5"/>
      <c r="E2239" s="5">
        <f>=HYPERLINK("https://luminus.nus.edu.sg/modules/65415d60-5fe8-4e69-8b32-bfc539104fa3","LumiNUS course site")</f>
      </c>
      <c r="F2239" s="0" t="s">
        <v>90</v>
      </c>
      <c r="G2239" s="0" t="s">
        <v>785</v>
      </c>
      <c r="H2239" s="3">
        <v>12</v>
      </c>
    </row>
    <row r="2240">
      <c r="A2240" s="0" t="s">
        <v>4047</v>
      </c>
      <c r="B2240" s="0" t="s">
        <v>4048</v>
      </c>
      <c r="C2240" s="5">
        <f>=HYPERLINK("https://nusmods.com/modules/MDG5231#timetable","Timetable")</f>
      </c>
      <c r="D2240" s="5">
        <f>=HYPERLINK("https://canvas.nus.edu.sg/courses/24528","Canvas course site")</f>
      </c>
      <c r="E2240" s="5"/>
      <c r="F2240" s="0" t="s">
        <v>90</v>
      </c>
      <c r="G2240" s="0" t="s">
        <v>785</v>
      </c>
      <c r="H2240" s="3">
        <v>8</v>
      </c>
    </row>
    <row r="2241">
      <c r="A2241" s="0" t="s">
        <v>4049</v>
      </c>
      <c r="B2241" s="0" t="s">
        <v>4050</v>
      </c>
      <c r="C2241" s="5">
        <f>=HYPERLINK("https://nusmods.com/modules/MDG5234#timetable","Timetable")</f>
      </c>
      <c r="D2241" s="5"/>
      <c r="E2241" s="5"/>
      <c r="F2241" s="0" t="s">
        <v>90</v>
      </c>
      <c r="G2241" s="0" t="s">
        <v>785</v>
      </c>
      <c r="H2241" s="3">
        <v>0</v>
      </c>
    </row>
    <row r="2242">
      <c r="A2242" s="0" t="s">
        <v>4051</v>
      </c>
      <c r="B2242" s="0" t="s">
        <v>4052</v>
      </c>
      <c r="C2242" s="5">
        <f>=HYPERLINK("https://nusmods.com/modules/MDG5239#timetable","Timetable")</f>
      </c>
      <c r="D2242" s="5"/>
      <c r="E2242" s="5">
        <f>=HYPERLINK("https://luminus.nus.edu.sg/modules/93bea9ce-ca42-411a-8a04-3a076f234bb1","LumiNUS course site")</f>
      </c>
      <c r="F2242" s="0" t="s">
        <v>90</v>
      </c>
      <c r="G2242" s="0" t="s">
        <v>785</v>
      </c>
      <c r="H2242" s="3">
        <v>29</v>
      </c>
    </row>
    <row r="2243">
      <c r="A2243" s="0" t="s">
        <v>4053</v>
      </c>
      <c r="B2243" s="0" t="s">
        <v>4054</v>
      </c>
      <c r="C2243" s="5">
        <f>=HYPERLINK("https://nusmods.com/modules/MDG5241#timetable","Timetable")</f>
      </c>
      <c r="D2243" s="5"/>
      <c r="E2243" s="5">
        <f>=HYPERLINK("https://luminus.nus.edu.sg/modules/cd4a15f3-55c3-4eb1-90f6-8b4ebbf2316a","LumiNUS course site")</f>
      </c>
      <c r="F2243" s="0" t="s">
        <v>90</v>
      </c>
      <c r="G2243" s="0" t="s">
        <v>785</v>
      </c>
      <c r="H2243" s="3">
        <v>29</v>
      </c>
    </row>
    <row r="2244">
      <c r="A2244" s="0" t="s">
        <v>4055</v>
      </c>
      <c r="B2244" s="0" t="s">
        <v>4056</v>
      </c>
      <c r="C2244" s="5">
        <f>=HYPERLINK("https://nusmods.com/modules/MDG5243#timetable","Timetable")</f>
      </c>
      <c r="D2244" s="5">
        <f>=HYPERLINK("https://canvas.nus.edu.sg/courses/24546","Canvas course site")</f>
      </c>
      <c r="E2244" s="5"/>
      <c r="F2244" s="0" t="s">
        <v>90</v>
      </c>
      <c r="G2244" s="0" t="s">
        <v>785</v>
      </c>
      <c r="H2244" s="3">
        <v>7</v>
      </c>
    </row>
    <row r="2245">
      <c r="A2245" s="0" t="s">
        <v>4057</v>
      </c>
      <c r="B2245" s="0" t="s">
        <v>4058</v>
      </c>
      <c r="C2245" s="5">
        <f>=HYPERLINK("https://nusmods.com/modules/MDG5245#timetable","Timetable")</f>
      </c>
      <c r="D2245" s="5"/>
      <c r="E2245" s="5">
        <f>=HYPERLINK("https://luminus.nus.edu.sg/modules/3a398594-1fb3-4497-873f-7a0c61a3ddd7","LumiNUS course site")</f>
      </c>
      <c r="F2245" s="0" t="s">
        <v>90</v>
      </c>
      <c r="G2245" s="0" t="s">
        <v>785</v>
      </c>
      <c r="H2245" s="3">
        <v>10</v>
      </c>
    </row>
    <row r="2246">
      <c r="A2246" s="0" t="s">
        <v>4059</v>
      </c>
      <c r="B2246" s="0" t="s">
        <v>4060</v>
      </c>
      <c r="C2246" s="5">
        <f>=HYPERLINK("https://nusmods.com/modules/MDG5246#timetable","Timetable")</f>
      </c>
      <c r="D2246" s="5">
        <f>=HYPERLINK("https://canvas.nus.edu.sg/courses/24556","Canvas course site")</f>
      </c>
      <c r="E2246" s="5"/>
      <c r="F2246" s="0" t="s">
        <v>90</v>
      </c>
      <c r="G2246" s="0" t="s">
        <v>785</v>
      </c>
      <c r="H2246" s="3">
        <v>17</v>
      </c>
    </row>
    <row r="2247">
      <c r="A2247" s="0" t="s">
        <v>4061</v>
      </c>
      <c r="B2247" s="0" t="s">
        <v>4062</v>
      </c>
      <c r="C2247" s="5">
        <f>=HYPERLINK("https://nusmods.com/modules/MDG5247#timetable","Timetable")</f>
      </c>
      <c r="D2247" s="5"/>
      <c r="E2247" s="5">
        <f>=HYPERLINK("https://luminus.nus.edu.sg/modules/343f523a-bc31-47ae-bf1b-48cfae5d8fd4","LumiNUS course site")</f>
      </c>
      <c r="F2247" s="0" t="s">
        <v>90</v>
      </c>
      <c r="G2247" s="0" t="s">
        <v>785</v>
      </c>
      <c r="H2247" s="3">
        <v>9</v>
      </c>
    </row>
    <row r="2248">
      <c r="A2248" s="0" t="s">
        <v>4063</v>
      </c>
      <c r="B2248" s="0" t="s">
        <v>4064</v>
      </c>
      <c r="C2248" s="5">
        <f>=HYPERLINK("https://nusmods.com/modules/MDG5248#timetable","Timetable")</f>
      </c>
      <c r="D2248" s="5"/>
      <c r="E2248" s="5"/>
      <c r="F2248" s="0" t="s">
        <v>90</v>
      </c>
      <c r="G2248" s="0" t="s">
        <v>785</v>
      </c>
      <c r="H2248" s="3">
        <v>0</v>
      </c>
    </row>
    <row r="2249">
      <c r="A2249" s="0" t="s">
        <v>4065</v>
      </c>
      <c r="B2249" s="0" t="s">
        <v>4066</v>
      </c>
      <c r="C2249" s="5">
        <f>=HYPERLINK("https://nusmods.com/modules/MDG5250#timetable","Timetable")</f>
      </c>
      <c r="D2249" s="5">
        <f>=HYPERLINK("https://canvas.nus.edu.sg/courses/26876","Canvas course site")</f>
      </c>
      <c r="E2249" s="5"/>
      <c r="F2249" s="0" t="s">
        <v>90</v>
      </c>
      <c r="G2249" s="0" t="s">
        <v>785</v>
      </c>
      <c r="H2249" s="3">
        <v>0</v>
      </c>
    </row>
    <row r="2250">
      <c r="A2250" s="0" t="s">
        <v>4067</v>
      </c>
      <c r="B2250" s="0" t="s">
        <v>4068</v>
      </c>
      <c r="C2250" s="5">
        <f>=HYPERLINK("https://nusmods.com/modules/MDG5600#timetable","Timetable")</f>
      </c>
      <c r="D2250" s="5"/>
      <c r="E2250" s="5"/>
      <c r="F2250" s="0" t="s">
        <v>90</v>
      </c>
      <c r="G2250" s="0" t="s">
        <v>785</v>
      </c>
      <c r="H2250" s="3">
        <v>2</v>
      </c>
    </row>
    <row r="2251">
      <c r="A2251" s="0" t="s">
        <v>4069</v>
      </c>
      <c r="B2251" s="0" t="s">
        <v>4070</v>
      </c>
      <c r="C2251" s="5">
        <f>=HYPERLINK("https://nusmods.com/modules/MDG5771#timetable","Timetable")</f>
      </c>
      <c r="D2251" s="5"/>
      <c r="E2251" s="5"/>
      <c r="F2251" s="0" t="s">
        <v>90</v>
      </c>
      <c r="G2251" s="0" t="s">
        <v>785</v>
      </c>
      <c r="H2251" s="3">
        <v>43</v>
      </c>
    </row>
    <row r="2252">
      <c r="A2252" s="0" t="s">
        <v>4071</v>
      </c>
      <c r="B2252" s="0" t="s">
        <v>936</v>
      </c>
      <c r="C2252" s="5">
        <f>=HYPERLINK("https://nusmods.com/modules/ME1102#timetable","Timetable")</f>
      </c>
      <c r="D2252" s="5">
        <f>=HYPERLINK("https://canvas.nus.edu.sg/courses/24576","Canvas course site")</f>
      </c>
      <c r="E2252" s="5"/>
      <c r="F2252" s="0" t="s">
        <v>10</v>
      </c>
      <c r="G2252" s="0" t="s">
        <v>3008</v>
      </c>
      <c r="H2252" s="3">
        <v>244</v>
      </c>
    </row>
    <row r="2253">
      <c r="A2253" s="0" t="s">
        <v>4072</v>
      </c>
      <c r="B2253" s="0" t="s">
        <v>4073</v>
      </c>
      <c r="C2253" s="5">
        <f>=HYPERLINK("https://nusmods.com/modules/ME2102#timetable","Timetable")</f>
      </c>
      <c r="D2253" s="5">
        <f>=HYPERLINK("https://canvas.nus.edu.sg/courses/24581","Canvas course site")</f>
      </c>
      <c r="E2253" s="5"/>
      <c r="F2253" s="0" t="s">
        <v>10</v>
      </c>
      <c r="G2253" s="0" t="s">
        <v>3008</v>
      </c>
      <c r="H2253" s="3">
        <v>199</v>
      </c>
    </row>
    <row r="2254">
      <c r="A2254" s="0" t="s">
        <v>4074</v>
      </c>
      <c r="B2254" s="0" t="s">
        <v>4075</v>
      </c>
      <c r="C2254" s="5">
        <f>=HYPERLINK("https://nusmods.com/modules/ME2112#timetable","Timetable")</f>
      </c>
      <c r="D2254" s="5"/>
      <c r="E2254" s="5">
        <f>=HYPERLINK("https://luminus.nus.edu.sg/modules/65ad1e65-5b61-4d99-8a75-05370da4cb3b","LumiNUS course site")</f>
      </c>
      <c r="F2254" s="0" t="s">
        <v>10</v>
      </c>
      <c r="G2254" s="0" t="s">
        <v>3008</v>
      </c>
      <c r="H2254" s="3">
        <v>180</v>
      </c>
    </row>
    <row r="2255">
      <c r="A2255" s="0" t="s">
        <v>4076</v>
      </c>
      <c r="B2255" s="0" t="s">
        <v>4077</v>
      </c>
      <c r="C2255" s="5">
        <f>=HYPERLINK("https://nusmods.com/modules/ME2115#timetable","Timetable")</f>
      </c>
      <c r="D2255" s="5"/>
      <c r="E2255" s="5">
        <f>=HYPERLINK("https://luminus.nus.edu.sg/modules/3eb8d964-d9c9-4a91-a93f-76110c59e88f","LumiNUS course site")</f>
      </c>
      <c r="F2255" s="0" t="s">
        <v>10</v>
      </c>
      <c r="G2255" s="0" t="s">
        <v>3008</v>
      </c>
      <c r="H2255" s="3">
        <v>48</v>
      </c>
    </row>
    <row r="2256">
      <c r="A2256" s="0" t="s">
        <v>4078</v>
      </c>
      <c r="B2256" s="0" t="s">
        <v>4079</v>
      </c>
      <c r="C2256" s="5">
        <f>=HYPERLINK("https://nusmods.com/modules/ME2121#timetable","Timetable")</f>
      </c>
      <c r="D2256" s="5">
        <f>=HYPERLINK("https://canvas.nus.edu.sg/courses/24242","Canvas course site")</f>
      </c>
      <c r="E2256" s="5"/>
      <c r="F2256" s="0" t="s">
        <v>10</v>
      </c>
      <c r="G2256" s="0" t="s">
        <v>3008</v>
      </c>
      <c r="H2256" s="3">
        <v>127</v>
      </c>
    </row>
    <row r="2257">
      <c r="A2257" s="0" t="s">
        <v>4080</v>
      </c>
      <c r="B2257" s="0" t="s">
        <v>4081</v>
      </c>
      <c r="C2257" s="5">
        <f>=HYPERLINK("https://nusmods.com/modules/ME2134#timetable","Timetable")</f>
      </c>
      <c r="D2257" s="5"/>
      <c r="E2257" s="5">
        <f>=HYPERLINK("https://luminus.nus.edu.sg/modules/a63b1d4b-5d6b-42f0-883d-4cdf85419913","LumiNUS course site")</f>
      </c>
      <c r="F2257" s="0" t="s">
        <v>10</v>
      </c>
      <c r="G2257" s="0" t="s">
        <v>3008</v>
      </c>
      <c r="H2257" s="3">
        <v>167</v>
      </c>
    </row>
    <row r="2258">
      <c r="A2258" s="0" t="s">
        <v>4082</v>
      </c>
      <c r="B2258" s="0" t="s">
        <v>1888</v>
      </c>
      <c r="C2258" s="5">
        <f>=HYPERLINK("https://nusmods.com/modules/ME2142#timetable","Timetable")</f>
      </c>
      <c r="D2258" s="5">
        <f>=HYPERLINK("https://canvas.nus.edu.sg/courses/24252","Canvas course site")</f>
      </c>
      <c r="E2258" s="5"/>
      <c r="F2258" s="0" t="s">
        <v>10</v>
      </c>
      <c r="G2258" s="0" t="s">
        <v>3008</v>
      </c>
      <c r="H2258" s="3">
        <v>161</v>
      </c>
    </row>
    <row r="2259">
      <c r="A2259" s="0" t="s">
        <v>4083</v>
      </c>
      <c r="B2259" s="0" t="s">
        <v>1888</v>
      </c>
      <c r="C2259" s="5">
        <f>=HYPERLINK("https://nusmods.com/modules/ME2142E#timetable","Timetable")</f>
      </c>
      <c r="D2259" s="5">
        <f>=HYPERLINK("https://canvas.nus.edu.sg/courses/24252","Canvas course site")</f>
      </c>
      <c r="E2259" s="5"/>
      <c r="F2259" s="0" t="s">
        <v>1173</v>
      </c>
      <c r="G2259" s="0" t="s">
        <v>1174</v>
      </c>
      <c r="H2259" s="3">
        <v>1</v>
      </c>
    </row>
    <row r="2260">
      <c r="A2260" s="0" t="s">
        <v>4084</v>
      </c>
      <c r="B2260" s="0" t="s">
        <v>4085</v>
      </c>
      <c r="C2260" s="5">
        <f>=HYPERLINK("https://nusmods.com/modules/ME2151E#timetable","Timetable")</f>
      </c>
      <c r="D2260" s="5"/>
      <c r="E2260" s="5">
        <f>=HYPERLINK("https://luminus.nus.edu.sg/modules/7ac2b019-72b7-4b7a-ba42-0de56acb8b2b","LumiNUS course site")</f>
      </c>
      <c r="F2260" s="0" t="s">
        <v>1173</v>
      </c>
      <c r="G2260" s="0" t="s">
        <v>1174</v>
      </c>
      <c r="H2260" s="3">
        <v>0</v>
      </c>
    </row>
    <row r="2261">
      <c r="A2261" s="0" t="s">
        <v>4086</v>
      </c>
      <c r="B2261" s="0" t="s">
        <v>4087</v>
      </c>
      <c r="C2261" s="5">
        <f>=HYPERLINK("https://nusmods.com/modules/ME2162#timetable","Timetable")</f>
      </c>
      <c r="D2261" s="5">
        <f>=HYPERLINK("https://canvas.nus.edu.sg/courses/24259","Canvas course site")</f>
      </c>
      <c r="E2261" s="5">
        <f>=HYPERLINK("https://luminus.nus.edu.sg/modules/3b079c0c-3d89-4257-942d-ee7f58514204","LumiNUS course site")</f>
      </c>
      <c r="F2261" s="0" t="s">
        <v>10</v>
      </c>
      <c r="G2261" s="0" t="s">
        <v>3008</v>
      </c>
      <c r="H2261" s="3">
        <v>90</v>
      </c>
    </row>
    <row r="2262">
      <c r="A2262" s="0" t="s">
        <v>4088</v>
      </c>
      <c r="B2262" s="0" t="s">
        <v>4089</v>
      </c>
      <c r="C2262" s="5">
        <f>=HYPERLINK("https://nusmods.com/modules/ME3000#timetable","Timetable")</f>
      </c>
      <c r="D2262" s="5"/>
      <c r="E2262" s="5"/>
      <c r="F2262" s="0" t="s">
        <v>10</v>
      </c>
      <c r="G2262" s="0" t="s">
        <v>3008</v>
      </c>
      <c r="H2262" s="3">
        <v>2</v>
      </c>
    </row>
    <row r="2263">
      <c r="A2263" s="0" t="s">
        <v>4090</v>
      </c>
      <c r="B2263" s="0" t="s">
        <v>4091</v>
      </c>
      <c r="C2263" s="5">
        <f>=HYPERLINK("https://nusmods.com/modules/ME3001#timetable","Timetable")</f>
      </c>
      <c r="D2263" s="5"/>
      <c r="E2263" s="5"/>
      <c r="F2263" s="0" t="s">
        <v>10</v>
      </c>
      <c r="G2263" s="0" t="s">
        <v>3008</v>
      </c>
      <c r="H2263" s="3">
        <v>1</v>
      </c>
    </row>
    <row r="2264">
      <c r="A2264" s="0" t="s">
        <v>4092</v>
      </c>
      <c r="B2264" s="0" t="s">
        <v>4093</v>
      </c>
      <c r="C2264" s="5">
        <f>=HYPERLINK("https://nusmods.com/modules/ME3103#timetable","Timetable")</f>
      </c>
      <c r="D2264" s="5"/>
      <c r="E2264" s="5">
        <f>=HYPERLINK("https://luminus.nus.edu.sg/modules/b1b623fd-d4e7-4727-bc39-2fcb53d4509e","LumiNUS course site")</f>
      </c>
      <c r="F2264" s="0" t="s">
        <v>10</v>
      </c>
      <c r="G2264" s="0" t="s">
        <v>3008</v>
      </c>
      <c r="H2264" s="3">
        <v>1</v>
      </c>
    </row>
    <row r="2265">
      <c r="A2265" s="0" t="s">
        <v>4094</v>
      </c>
      <c r="B2265" s="0" t="s">
        <v>4095</v>
      </c>
      <c r="C2265" s="5">
        <f>=HYPERLINK("https://nusmods.com/modules/ME3122#timetable","Timetable")</f>
      </c>
      <c r="D2265" s="5">
        <f>=HYPERLINK("https://canvas.nus.edu.sg/courses/24636","Canvas course site")</f>
      </c>
      <c r="E2265" s="5">
        <f>=HYPERLINK("https://luminus.nus.edu.sg/modules/66989624-8fef-4373-ab9f-18f2cb8fd955","LumiNUS course site")</f>
      </c>
      <c r="F2265" s="0" t="s">
        <v>10</v>
      </c>
      <c r="G2265" s="0" t="s">
        <v>3008</v>
      </c>
      <c r="H2265" s="3">
        <v>16</v>
      </c>
    </row>
    <row r="2266">
      <c r="A2266" s="0" t="s">
        <v>4096</v>
      </c>
      <c r="B2266" s="0" t="s">
        <v>1886</v>
      </c>
      <c r="C2266" s="5">
        <f>=HYPERLINK("https://nusmods.com/modules/ME3163#timetable","Timetable")</f>
      </c>
      <c r="D2266" s="5">
        <f>=HYPERLINK("https://canvas.nus.edu.sg/courses/26032","Canvas course site")</f>
      </c>
      <c r="E2266" s="5"/>
      <c r="F2266" s="0" t="s">
        <v>10</v>
      </c>
      <c r="G2266" s="0" t="s">
        <v>3008</v>
      </c>
      <c r="H2266" s="3">
        <v>45</v>
      </c>
    </row>
    <row r="2267">
      <c r="A2267" s="0" t="s">
        <v>4097</v>
      </c>
      <c r="B2267" s="0" t="s">
        <v>4098</v>
      </c>
      <c r="C2267" s="5">
        <f>=HYPERLINK("https://nusmods.com/modules/ME3211#timetable","Timetable")</f>
      </c>
      <c r="D2267" s="5">
        <f>=HYPERLINK("https://canvas.nus.edu.sg/courses/24641","Canvas course site")</f>
      </c>
      <c r="E2267" s="5"/>
      <c r="F2267" s="0" t="s">
        <v>10</v>
      </c>
      <c r="G2267" s="0" t="s">
        <v>3008</v>
      </c>
      <c r="H2267" s="3">
        <v>13</v>
      </c>
    </row>
    <row r="2268">
      <c r="A2268" s="0" t="s">
        <v>4099</v>
      </c>
      <c r="B2268" s="0" t="s">
        <v>4100</v>
      </c>
      <c r="C2268" s="5">
        <f>=HYPERLINK("https://nusmods.com/modules/ME3242#timetable","Timetable")</f>
      </c>
      <c r="D2268" s="5">
        <f>=HYPERLINK("https://canvas.nus.edu.sg/courses/24279","Canvas course site")</f>
      </c>
      <c r="E2268" s="5"/>
      <c r="F2268" s="0" t="s">
        <v>10</v>
      </c>
      <c r="G2268" s="0" t="s">
        <v>3008</v>
      </c>
      <c r="H2268" s="3">
        <v>44</v>
      </c>
    </row>
    <row r="2269">
      <c r="A2269" s="0" t="s">
        <v>4101</v>
      </c>
      <c r="B2269" s="0" t="s">
        <v>4100</v>
      </c>
      <c r="C2269" s="5">
        <f>=HYPERLINK("https://nusmods.com/modules/ME3242E#timetable","Timetable")</f>
      </c>
      <c r="D2269" s="5"/>
      <c r="E2269" s="5"/>
      <c r="F2269" s="0" t="s">
        <v>1173</v>
      </c>
      <c r="G2269" s="0" t="s">
        <v>1174</v>
      </c>
      <c r="H2269" s="3">
        <v>0</v>
      </c>
    </row>
    <row r="2270">
      <c r="A2270" s="0" t="s">
        <v>4102</v>
      </c>
      <c r="B2270" s="0" t="s">
        <v>1884</v>
      </c>
      <c r="C2270" s="5">
        <f>=HYPERLINK("https://nusmods.com/modules/ME3243#timetable","Timetable")</f>
      </c>
      <c r="D2270" s="5">
        <f>=HYPERLINK("https://canvas.nus.edu.sg/courses/25959","Canvas course site")</f>
      </c>
      <c r="E2270" s="5"/>
      <c r="F2270" s="0" t="s">
        <v>10</v>
      </c>
      <c r="G2270" s="0" t="s">
        <v>3008</v>
      </c>
      <c r="H2270" s="3">
        <v>52</v>
      </c>
    </row>
    <row r="2271">
      <c r="A2271" s="0" t="s">
        <v>4103</v>
      </c>
      <c r="B2271" s="0" t="s">
        <v>4104</v>
      </c>
      <c r="C2271" s="5">
        <f>=HYPERLINK("https://nusmods.com/modules/ME3252#timetable","Timetable")</f>
      </c>
      <c r="D2271" s="5">
        <f>=HYPERLINK("https://canvas.nus.edu.sg/courses/24661","Canvas course site")</f>
      </c>
      <c r="E2271" s="5">
        <f>=HYPERLINK("https://luminus.nus.edu.sg/modules/e5d42723-1f59-439f-a161-a99f194599d2","LumiNUS course site")</f>
      </c>
      <c r="F2271" s="0" t="s">
        <v>10</v>
      </c>
      <c r="G2271" s="0" t="s">
        <v>3008</v>
      </c>
      <c r="H2271" s="3">
        <v>44</v>
      </c>
    </row>
    <row r="2272">
      <c r="A2272" s="0" t="s">
        <v>4105</v>
      </c>
      <c r="B2272" s="0" t="s">
        <v>4106</v>
      </c>
      <c r="C2272" s="5">
        <f>=HYPERLINK("https://nusmods.com/modules/ME3261#timetable","Timetable")</f>
      </c>
      <c r="D2272" s="5">
        <f>=HYPERLINK("https://canvas.nus.edu.sg/courses/24667","Canvas course site")</f>
      </c>
      <c r="E2272" s="5">
        <f>=HYPERLINK("https://luminus.nus.edu.sg/modules/1a89c4e0-1427-4865-ae7b-3b61b28bb1a9","LumiNUS course site")</f>
      </c>
      <c r="F2272" s="0" t="s">
        <v>10</v>
      </c>
      <c r="G2272" s="0" t="s">
        <v>3008</v>
      </c>
      <c r="H2272" s="3">
        <v>37</v>
      </c>
    </row>
    <row r="2273">
      <c r="A2273" s="0" t="s">
        <v>4107</v>
      </c>
      <c r="B2273" s="0" t="s">
        <v>4108</v>
      </c>
      <c r="C2273" s="5">
        <f>=HYPERLINK("https://nusmods.com/modules/ME3261E#timetable","Timetable")</f>
      </c>
      <c r="D2273" s="5"/>
      <c r="E2273" s="5">
        <f>=HYPERLINK("https://luminus.nus.edu.sg/modules/059882f3-de36-4451-84e6-914d70153cd5","LumiNUS course site")</f>
      </c>
      <c r="F2273" s="0" t="s">
        <v>1173</v>
      </c>
      <c r="G2273" s="0" t="s">
        <v>1174</v>
      </c>
      <c r="H2273" s="3">
        <v>0</v>
      </c>
    </row>
    <row r="2274">
      <c r="A2274" s="0" t="s">
        <v>4109</v>
      </c>
      <c r="B2274" s="0" t="s">
        <v>4110</v>
      </c>
      <c r="C2274" s="5">
        <f>=HYPERLINK("https://nusmods.com/modules/ME3263#timetable","Timetable")</f>
      </c>
      <c r="D2274" s="5"/>
      <c r="E2274" s="5">
        <f>=HYPERLINK("https://luminus.nus.edu.sg/modules/ca013877-933f-4f31-8c28-e91a5613ad7b","LumiNUS course site")</f>
      </c>
      <c r="F2274" s="0" t="s">
        <v>10</v>
      </c>
      <c r="G2274" s="0" t="s">
        <v>3008</v>
      </c>
      <c r="H2274" s="3">
        <v>29</v>
      </c>
    </row>
    <row r="2275">
      <c r="A2275" s="0" t="s">
        <v>4111</v>
      </c>
      <c r="B2275" s="0" t="s">
        <v>4112</v>
      </c>
      <c r="C2275" s="5">
        <f>=HYPERLINK("https://nusmods.com/modules/ME3273E#timetable","Timetable")</f>
      </c>
      <c r="D2275" s="5"/>
      <c r="E2275" s="5"/>
      <c r="F2275" s="0" t="s">
        <v>1173</v>
      </c>
      <c r="G2275" s="0" t="s">
        <v>1174</v>
      </c>
      <c r="H2275" s="3">
        <v>0</v>
      </c>
    </row>
    <row r="2276">
      <c r="A2276" s="0" t="s">
        <v>4113</v>
      </c>
      <c r="B2276" s="0" t="s">
        <v>4114</v>
      </c>
      <c r="C2276" s="5">
        <f>=HYPERLINK("https://nusmods.com/modules/ME4101#timetable","Timetable")</f>
      </c>
      <c r="D2276" s="5"/>
      <c r="E2276" s="5">
        <f>=HYPERLINK("https://luminus.nus.edu.sg/modules/e7b0aa55-74ea-4f7e-ae95-3e7075b1fda0","LumiNUS course site")</f>
      </c>
      <c r="F2276" s="0" t="s">
        <v>10</v>
      </c>
      <c r="G2276" s="0" t="s">
        <v>3008</v>
      </c>
      <c r="H2276" s="3">
        <v>2</v>
      </c>
    </row>
    <row r="2277">
      <c r="A2277" s="0" t="s">
        <v>4115</v>
      </c>
      <c r="B2277" s="0" t="s">
        <v>4114</v>
      </c>
      <c r="C2277" s="5">
        <f>=HYPERLINK("https://nusmods.com/modules/ME4101A#timetable","Timetable")</f>
      </c>
      <c r="D2277" s="5"/>
      <c r="E2277" s="5">
        <f>=HYPERLINK("https://luminus.nus.edu.sg/modules/e7b0aa55-74ea-4f7e-ae95-3e7075b1fda0","LumiNUS course site")</f>
      </c>
      <c r="F2277" s="0" t="s">
        <v>10</v>
      </c>
      <c r="G2277" s="0" t="s">
        <v>3008</v>
      </c>
      <c r="H2277" s="3">
        <v>239</v>
      </c>
    </row>
    <row r="2278">
      <c r="A2278" s="0" t="s">
        <v>4116</v>
      </c>
      <c r="B2278" s="0" t="s">
        <v>4093</v>
      </c>
      <c r="C2278" s="5">
        <f>=HYPERLINK("https://nusmods.com/modules/ME4101B#timetable","Timetable")</f>
      </c>
      <c r="D2278" s="5"/>
      <c r="E2278" s="5">
        <f>=HYPERLINK("https://luminus.nus.edu.sg/modules/028d0005-0d74-4940-8f4a-8da573cabb26","LumiNUS course site")</f>
      </c>
      <c r="F2278" s="0" t="s">
        <v>10</v>
      </c>
      <c r="G2278" s="0" t="s">
        <v>3008</v>
      </c>
      <c r="H2278" s="3">
        <v>41</v>
      </c>
    </row>
    <row r="2279">
      <c r="A2279" s="0" t="s">
        <v>4117</v>
      </c>
      <c r="B2279" s="0" t="s">
        <v>4118</v>
      </c>
      <c r="C2279" s="5">
        <f>=HYPERLINK("https://nusmods.com/modules/ME4102#timetable","Timetable")</f>
      </c>
      <c r="D2279" s="5">
        <f>=HYPERLINK("https://canvas.nus.edu.sg/courses/24702","Canvas course site")</f>
      </c>
      <c r="E2279" s="5"/>
      <c r="F2279" s="0" t="s">
        <v>10</v>
      </c>
      <c r="G2279" s="0" t="s">
        <v>3008</v>
      </c>
      <c r="H2279" s="3">
        <v>184</v>
      </c>
    </row>
    <row r="2280">
      <c r="A2280" s="0" t="s">
        <v>4119</v>
      </c>
      <c r="B2280" s="0" t="s">
        <v>4120</v>
      </c>
      <c r="C2280" s="5">
        <f>=HYPERLINK("https://nusmods.com/modules/ME4103#timetable","Timetable")</f>
      </c>
      <c r="D2280" s="5">
        <f>=HYPERLINK("https://canvas.nus.edu.sg/courses/24707","Canvas course site")</f>
      </c>
      <c r="E2280" s="5"/>
      <c r="F2280" s="0" t="s">
        <v>10</v>
      </c>
      <c r="G2280" s="0" t="s">
        <v>3008</v>
      </c>
      <c r="H2280" s="3">
        <v>109</v>
      </c>
    </row>
    <row r="2281">
      <c r="A2281" s="0" t="s">
        <v>4121</v>
      </c>
      <c r="B2281" s="0" t="s">
        <v>4122</v>
      </c>
      <c r="C2281" s="5">
        <f>=HYPERLINK("https://nusmods.com/modules/ME4105#timetable","Timetable")</f>
      </c>
      <c r="D2281" s="5">
        <f>=HYPERLINK("https://canvas.nus.edu.sg/courses/26352","Canvas course site")</f>
      </c>
      <c r="E2281" s="5"/>
      <c r="F2281" s="0" t="s">
        <v>10</v>
      </c>
      <c r="G2281" s="0" t="s">
        <v>3008</v>
      </c>
      <c r="H2281" s="3">
        <v>6</v>
      </c>
    </row>
    <row r="2282">
      <c r="A2282" s="0" t="s">
        <v>4123</v>
      </c>
      <c r="B2282" s="0" t="s">
        <v>4124</v>
      </c>
      <c r="C2282" s="5">
        <f>=HYPERLINK("https://nusmods.com/modules/ME4223#timetable","Timetable")</f>
      </c>
      <c r="D2282" s="5">
        <f>=HYPERLINK("https://canvas.nus.edu.sg/courses/24292","Canvas course site")</f>
      </c>
      <c r="E2282" s="5">
        <f>=HYPERLINK("https://luminus.nus.edu.sg/modules/0d65c83a-c084-4e8b-9d89-861d402f94ea","LumiNUS course site")</f>
      </c>
      <c r="F2282" s="0" t="s">
        <v>10</v>
      </c>
      <c r="G2282" s="0" t="s">
        <v>3008</v>
      </c>
      <c r="H2282" s="3">
        <v>33</v>
      </c>
    </row>
    <row r="2283">
      <c r="A2283" s="0" t="s">
        <v>4125</v>
      </c>
      <c r="B2283" s="0" t="s">
        <v>4124</v>
      </c>
      <c r="C2283" s="5">
        <f>=HYPERLINK("https://nusmods.com/modules/ME4223E#timetable","Timetable")</f>
      </c>
      <c r="D2283" s="5">
        <f>=HYPERLINK("https://canvas.nus.edu.sg/courses/24292","Canvas course site")</f>
      </c>
      <c r="E2283" s="5"/>
      <c r="F2283" s="0" t="s">
        <v>1173</v>
      </c>
      <c r="G2283" s="0" t="s">
        <v>1174</v>
      </c>
      <c r="H2283" s="3">
        <v>0</v>
      </c>
    </row>
    <row r="2284">
      <c r="A2284" s="0" t="s">
        <v>4126</v>
      </c>
      <c r="B2284" s="0" t="s">
        <v>4127</v>
      </c>
      <c r="C2284" s="5">
        <f>=HYPERLINK("https://nusmods.com/modules/ME4226#timetable","Timetable")</f>
      </c>
      <c r="D2284" s="5">
        <f>=HYPERLINK("https://canvas.nus.edu.sg/courses/24722","Canvas course site")</f>
      </c>
      <c r="E2284" s="5"/>
      <c r="F2284" s="0" t="s">
        <v>10</v>
      </c>
      <c r="G2284" s="0" t="s">
        <v>3008</v>
      </c>
      <c r="H2284" s="3">
        <v>55</v>
      </c>
    </row>
    <row r="2285">
      <c r="A2285" s="0" t="s">
        <v>4128</v>
      </c>
      <c r="B2285" s="0" t="s">
        <v>4129</v>
      </c>
      <c r="C2285" s="5">
        <f>=HYPERLINK("https://nusmods.com/modules/ME4233#timetable","Timetable")</f>
      </c>
      <c r="D2285" s="5">
        <f>=HYPERLINK("https://canvas.nus.edu.sg/courses/24727","Canvas course site")</f>
      </c>
      <c r="E2285" s="5"/>
      <c r="F2285" s="0" t="s">
        <v>10</v>
      </c>
      <c r="G2285" s="0" t="s">
        <v>3008</v>
      </c>
      <c r="H2285" s="3">
        <v>31</v>
      </c>
    </row>
    <row r="2286">
      <c r="A2286" s="0" t="s">
        <v>4130</v>
      </c>
      <c r="B2286" s="0" t="s">
        <v>4131</v>
      </c>
      <c r="C2286" s="5">
        <f>=HYPERLINK("https://nusmods.com/modules/ME4241#timetable","Timetable")</f>
      </c>
      <c r="D2286" s="5"/>
      <c r="E2286" s="5">
        <f>=HYPERLINK("https://luminus.nus.edu.sg/modules/c269f6ca-0768-4aef-a52b-62376518446a","LumiNUS course site")</f>
      </c>
      <c r="F2286" s="0" t="s">
        <v>10</v>
      </c>
      <c r="G2286" s="0" t="s">
        <v>3008</v>
      </c>
      <c r="H2286" s="3">
        <v>48</v>
      </c>
    </row>
    <row r="2287">
      <c r="A2287" s="0" t="s">
        <v>4132</v>
      </c>
      <c r="B2287" s="0" t="s">
        <v>4133</v>
      </c>
      <c r="C2287" s="5">
        <f>=HYPERLINK("https://nusmods.com/modules/ME4242#timetable","Timetable")</f>
      </c>
      <c r="D2287" s="5">
        <f>=HYPERLINK("https://canvas.nus.edu.sg/courses/24732","Canvas course site")</f>
      </c>
      <c r="E2287" s="5"/>
      <c r="F2287" s="0" t="s">
        <v>10</v>
      </c>
      <c r="G2287" s="0" t="s">
        <v>3008</v>
      </c>
      <c r="H2287" s="3">
        <v>57</v>
      </c>
    </row>
    <row r="2288">
      <c r="A2288" s="0" t="s">
        <v>4134</v>
      </c>
      <c r="B2288" s="0" t="s">
        <v>4135</v>
      </c>
      <c r="C2288" s="5">
        <f>=HYPERLINK("https://nusmods.com/modules/ME4245#timetable","Timetable")</f>
      </c>
      <c r="D2288" s="5"/>
      <c r="E2288" s="5">
        <f>=HYPERLINK("https://luminus.nus.edu.sg/modules/8cb6d7cb-44e7-47e5-8325-4b6e489c09ae","LumiNUS course site")</f>
      </c>
      <c r="F2288" s="0" t="s">
        <v>10</v>
      </c>
      <c r="G2288" s="0" t="s">
        <v>3008</v>
      </c>
      <c r="H2288" s="3">
        <v>53</v>
      </c>
    </row>
    <row r="2289">
      <c r="A2289" s="0" t="s">
        <v>4136</v>
      </c>
      <c r="B2289" s="0" t="s">
        <v>4135</v>
      </c>
      <c r="C2289" s="5">
        <f>=HYPERLINK("https://nusmods.com/modules/ME4245E#timetable","Timetable")</f>
      </c>
      <c r="D2289" s="5"/>
      <c r="E2289" s="5">
        <f>=HYPERLINK("https://luminus.nus.edu.sg/modules/d187e539-441b-4b59-91e5-165a9bb1002d","LumiNUS course site")</f>
      </c>
      <c r="F2289" s="0" t="s">
        <v>1173</v>
      </c>
      <c r="G2289" s="0" t="s">
        <v>1174</v>
      </c>
      <c r="H2289" s="3">
        <v>0</v>
      </c>
    </row>
    <row r="2290">
      <c r="A2290" s="0" t="s">
        <v>4137</v>
      </c>
      <c r="B2290" s="0" t="s">
        <v>4138</v>
      </c>
      <c r="C2290" s="5">
        <f>=HYPERLINK("https://nusmods.com/modules/ME4248#timetable","Timetable")</f>
      </c>
      <c r="D2290" s="5"/>
      <c r="E2290" s="5">
        <f>=HYPERLINK("https://luminus.nus.edu.sg/modules/b3fcb4a5-37d6-4523-b941-2c9942aee9a5","LumiNUS course site")</f>
      </c>
      <c r="F2290" s="0" t="s">
        <v>10</v>
      </c>
      <c r="G2290" s="0" t="s">
        <v>3008</v>
      </c>
      <c r="H2290" s="3">
        <v>4</v>
      </c>
    </row>
    <row r="2291">
      <c r="A2291" s="0" t="s">
        <v>4139</v>
      </c>
      <c r="B2291" s="0" t="s">
        <v>4140</v>
      </c>
      <c r="C2291" s="5">
        <f>=HYPERLINK("https://nusmods.com/modules/ME4252#timetable","Timetable")</f>
      </c>
      <c r="D2291" s="5"/>
      <c r="E2291" s="5">
        <f>=HYPERLINK("https://luminus.nus.edu.sg/modules/7f172721-954b-41f5-91e4-5a3120955b25","LumiNUS course site")</f>
      </c>
      <c r="F2291" s="0" t="s">
        <v>10</v>
      </c>
      <c r="G2291" s="0" t="s">
        <v>3008</v>
      </c>
      <c r="H2291" s="3">
        <v>19</v>
      </c>
    </row>
    <row r="2292">
      <c r="A2292" s="0" t="s">
        <v>4141</v>
      </c>
      <c r="B2292" s="0" t="s">
        <v>4142</v>
      </c>
      <c r="C2292" s="5">
        <f>=HYPERLINK("https://nusmods.com/modules/ME4291#timetable","Timetable")</f>
      </c>
      <c r="D2292" s="5">
        <f>=HYPERLINK("https://canvas.nus.edu.sg/courses/24753","Canvas course site")</f>
      </c>
      <c r="E2292" s="5">
        <f>=HYPERLINK("https://luminus.nus.edu.sg/modules/19e42f33-7960-4844-a580-caaa3db42285","LumiNUS course site")</f>
      </c>
      <c r="F2292" s="0" t="s">
        <v>10</v>
      </c>
      <c r="G2292" s="0" t="s">
        <v>3008</v>
      </c>
      <c r="H2292" s="3">
        <v>69</v>
      </c>
    </row>
    <row r="2293">
      <c r="A2293" s="0" t="s">
        <v>4143</v>
      </c>
      <c r="B2293" s="0" t="s">
        <v>4144</v>
      </c>
      <c r="C2293" s="5">
        <f>=HYPERLINK("https://nusmods.com/modules/ME5001#timetable","Timetable")</f>
      </c>
      <c r="D2293" s="5"/>
      <c r="E2293" s="5"/>
      <c r="F2293" s="0" t="s">
        <v>10</v>
      </c>
      <c r="G2293" s="0" t="s">
        <v>3008</v>
      </c>
      <c r="H2293" s="3">
        <v>205</v>
      </c>
    </row>
    <row r="2294">
      <c r="A2294" s="0" t="s">
        <v>4145</v>
      </c>
      <c r="B2294" s="0" t="s">
        <v>4144</v>
      </c>
      <c r="C2294" s="5">
        <f>=HYPERLINK("https://nusmods.com/modules/ME5001A#timetable","Timetable")</f>
      </c>
      <c r="D2294" s="5"/>
      <c r="E2294" s="5"/>
      <c r="F2294" s="0" t="s">
        <v>10</v>
      </c>
      <c r="G2294" s="0" t="s">
        <v>3008</v>
      </c>
      <c r="H2294" s="3">
        <v>1</v>
      </c>
    </row>
    <row r="2295">
      <c r="A2295" s="0" t="s">
        <v>4146</v>
      </c>
      <c r="B2295" s="0" t="s">
        <v>4147</v>
      </c>
      <c r="C2295" s="5">
        <f>=HYPERLINK("https://nusmods.com/modules/ME5106#timetable","Timetable")</f>
      </c>
      <c r="D2295" s="5">
        <f>=HYPERLINK("https://canvas.nus.edu.sg/courses/24764","Canvas course site")</f>
      </c>
      <c r="E2295" s="5"/>
      <c r="F2295" s="0" t="s">
        <v>10</v>
      </c>
      <c r="G2295" s="0" t="s">
        <v>3008</v>
      </c>
      <c r="H2295" s="3">
        <v>148</v>
      </c>
    </row>
    <row r="2296">
      <c r="A2296" s="0" t="s">
        <v>4148</v>
      </c>
      <c r="B2296" s="0" t="s">
        <v>4149</v>
      </c>
      <c r="C2296" s="5">
        <f>=HYPERLINK("https://nusmods.com/modules/ME5209#timetable","Timetable")</f>
      </c>
      <c r="D2296" s="5">
        <f>=HYPERLINK("https://canvas.nus.edu.sg/courses/24774","Canvas course site")</f>
      </c>
      <c r="E2296" s="5"/>
      <c r="F2296" s="0" t="s">
        <v>10</v>
      </c>
      <c r="G2296" s="0" t="s">
        <v>3008</v>
      </c>
      <c r="H2296" s="3">
        <v>85</v>
      </c>
    </row>
    <row r="2297">
      <c r="A2297" s="0" t="s">
        <v>4150</v>
      </c>
      <c r="B2297" s="0" t="s">
        <v>4151</v>
      </c>
      <c r="C2297" s="5">
        <f>=HYPERLINK("https://nusmods.com/modules/ME5300A#timetable","Timetable")</f>
      </c>
      <c r="D2297" s="5"/>
      <c r="E2297" s="5"/>
      <c r="F2297" s="0" t="s">
        <v>10</v>
      </c>
      <c r="G2297" s="0" t="s">
        <v>3008</v>
      </c>
      <c r="H2297" s="3">
        <v>3</v>
      </c>
    </row>
    <row r="2298">
      <c r="A2298" s="0" t="s">
        <v>4152</v>
      </c>
      <c r="B2298" s="0" t="s">
        <v>4153</v>
      </c>
      <c r="C2298" s="5">
        <f>=HYPERLINK("https://nusmods.com/modules/ME5304#timetable","Timetable")</f>
      </c>
      <c r="D2298" s="5">
        <f>=HYPERLINK("https://canvas.nus.edu.sg/courses/24790","Canvas course site")</f>
      </c>
      <c r="E2298" s="5"/>
      <c r="F2298" s="0" t="s">
        <v>10</v>
      </c>
      <c r="G2298" s="0" t="s">
        <v>3008</v>
      </c>
      <c r="H2298" s="3">
        <v>58</v>
      </c>
    </row>
    <row r="2299">
      <c r="A2299" s="0" t="s">
        <v>4154</v>
      </c>
      <c r="B2299" s="0" t="s">
        <v>4155</v>
      </c>
      <c r="C2299" s="5">
        <f>=HYPERLINK("https://nusmods.com/modules/ME5306#timetable","Timetable")</f>
      </c>
      <c r="D2299" s="5">
        <f>=HYPERLINK("https://canvas.nus.edu.sg/courses/24794","Canvas course site")</f>
      </c>
      <c r="E2299" s="5"/>
      <c r="F2299" s="0" t="s">
        <v>10</v>
      </c>
      <c r="G2299" s="0" t="s">
        <v>3008</v>
      </c>
      <c r="H2299" s="3">
        <v>78</v>
      </c>
    </row>
    <row r="2300">
      <c r="A2300" s="0" t="s">
        <v>4156</v>
      </c>
      <c r="B2300" s="0" t="s">
        <v>1961</v>
      </c>
      <c r="C2300" s="5">
        <f>=HYPERLINK("https://nusmods.com/modules/ME5401#timetable","Timetable")</f>
      </c>
      <c r="D2300" s="5">
        <f>=HYPERLINK("https://canvas.nus.edu.sg/courses/25970","Canvas course site")</f>
      </c>
      <c r="E2300" s="5"/>
      <c r="F2300" s="0" t="s">
        <v>10</v>
      </c>
      <c r="G2300" s="0" t="s">
        <v>911</v>
      </c>
      <c r="H2300" s="3">
        <v>107</v>
      </c>
    </row>
    <row r="2301">
      <c r="A2301" s="0" t="s">
        <v>4157</v>
      </c>
      <c r="B2301" s="0" t="s">
        <v>4158</v>
      </c>
      <c r="C2301" s="5">
        <f>=HYPERLINK("https://nusmods.com/modules/ME5405#timetable","Timetable")</f>
      </c>
      <c r="D2301" s="5"/>
      <c r="E2301" s="5">
        <f>=HYPERLINK("https://luminus.nus.edu.sg/modules/f6169d6b-031a-4e02-9f5f-3aa7e7dc1a73","LumiNUS course site")</f>
      </c>
      <c r="F2301" s="0" t="s">
        <v>10</v>
      </c>
      <c r="G2301" s="0" t="s">
        <v>3008</v>
      </c>
      <c r="H2301" s="3">
        <v>146</v>
      </c>
    </row>
    <row r="2302">
      <c r="A2302" s="0" t="s">
        <v>4159</v>
      </c>
      <c r="B2302" s="0" t="s">
        <v>4160</v>
      </c>
      <c r="C2302" s="5">
        <f>=HYPERLINK("https://nusmods.com/modules/ME5513#timetable","Timetable")</f>
      </c>
      <c r="D2302" s="5">
        <f>=HYPERLINK("https://canvas.nus.edu.sg/courses/24810","Canvas course site")</f>
      </c>
      <c r="E2302" s="5"/>
      <c r="F2302" s="0" t="s">
        <v>10</v>
      </c>
      <c r="G2302" s="0" t="s">
        <v>3008</v>
      </c>
      <c r="H2302" s="3">
        <v>121</v>
      </c>
    </row>
    <row r="2303">
      <c r="A2303" s="0" t="s">
        <v>4161</v>
      </c>
      <c r="B2303" s="0" t="s">
        <v>4162</v>
      </c>
      <c r="C2303" s="5">
        <f>=HYPERLINK("https://nusmods.com/modules/ME5517#timetable","Timetable")</f>
      </c>
      <c r="D2303" s="5">
        <f>=HYPERLINK("https://canvas.nus.edu.sg/courses/24817","Canvas course site")</f>
      </c>
      <c r="E2303" s="5"/>
      <c r="F2303" s="0" t="s">
        <v>10</v>
      </c>
      <c r="G2303" s="0" t="s">
        <v>3008</v>
      </c>
      <c r="H2303" s="3">
        <v>74</v>
      </c>
    </row>
    <row r="2304">
      <c r="A2304" s="0" t="s">
        <v>4163</v>
      </c>
      <c r="B2304" s="0" t="s">
        <v>4164</v>
      </c>
      <c r="C2304" s="5">
        <f>=HYPERLINK("https://nusmods.com/modules/ME5600A#timetable","Timetable")</f>
      </c>
      <c r="D2304" s="5">
        <f>=HYPERLINK("https://canvas.nus.edu.sg/courses/24822","Canvas course site")</f>
      </c>
      <c r="E2304" s="5">
        <f>=HYPERLINK("https://luminus.nus.edu.sg/modules/385ebb82-4ef0-44f2-a8b5-8cc29953ca56","LumiNUS course site")</f>
      </c>
      <c r="F2304" s="0" t="s">
        <v>10</v>
      </c>
      <c r="G2304" s="0" t="s">
        <v>3008</v>
      </c>
      <c r="H2304" s="3">
        <v>31</v>
      </c>
    </row>
    <row r="2305">
      <c r="A2305" s="0" t="s">
        <v>4165</v>
      </c>
      <c r="B2305" s="0" t="s">
        <v>4166</v>
      </c>
      <c r="C2305" s="5">
        <f>=HYPERLINK("https://nusmods.com/modules/ME5600B#timetable","Timetable")</f>
      </c>
      <c r="D2305" s="5"/>
      <c r="E2305" s="5"/>
      <c r="F2305" s="0" t="s">
        <v>10</v>
      </c>
      <c r="G2305" s="0" t="s">
        <v>3008</v>
      </c>
      <c r="H2305" s="3">
        <v>3</v>
      </c>
    </row>
    <row r="2306">
      <c r="A2306" s="0" t="s">
        <v>4167</v>
      </c>
      <c r="B2306" s="0" t="s">
        <v>4168</v>
      </c>
      <c r="C2306" s="5">
        <f>=HYPERLINK("https://nusmods.com/modules/ME5608#timetable","Timetable")</f>
      </c>
      <c r="D2306" s="5">
        <f>=HYPERLINK("https://canvas.nus.edu.sg/courses/24832","Canvas course site")</f>
      </c>
      <c r="E2306" s="5">
        <f>=HYPERLINK("https://luminus.nus.edu.sg/modules/3592fafa-37ee-40cc-9ca7-e4a2594443ca","LumiNUS course site")</f>
      </c>
      <c r="F2306" s="0" t="s">
        <v>10</v>
      </c>
      <c r="G2306" s="0" t="s">
        <v>3008</v>
      </c>
      <c r="H2306" s="3">
        <v>113</v>
      </c>
    </row>
    <row r="2307">
      <c r="A2307" s="0" t="s">
        <v>4169</v>
      </c>
      <c r="B2307" s="0" t="s">
        <v>4170</v>
      </c>
      <c r="C2307" s="5">
        <f>=HYPERLINK("https://nusmods.com/modules/ME5616#timetable","Timetable")</f>
      </c>
      <c r="D2307" s="5">
        <f>=HYPERLINK("https://canvas.nus.edu.sg/courses/24838","Canvas course site")</f>
      </c>
      <c r="E2307" s="5"/>
      <c r="F2307" s="0" t="s">
        <v>10</v>
      </c>
      <c r="G2307" s="0" t="s">
        <v>3008</v>
      </c>
      <c r="H2307" s="3">
        <v>50</v>
      </c>
    </row>
    <row r="2308">
      <c r="A2308" s="0" t="s">
        <v>4171</v>
      </c>
      <c r="B2308" s="0" t="s">
        <v>647</v>
      </c>
      <c r="C2308" s="5">
        <f>=HYPERLINK("https://nusmods.com/modules/ME5666#timetable","Timetable")</f>
      </c>
      <c r="D2308" s="5"/>
      <c r="E2308" s="5"/>
      <c r="F2308" s="0" t="s">
        <v>10</v>
      </c>
      <c r="G2308" s="0" t="s">
        <v>3008</v>
      </c>
      <c r="H2308" s="3">
        <v>1</v>
      </c>
    </row>
    <row r="2309">
      <c r="A2309" s="0" t="s">
        <v>4172</v>
      </c>
      <c r="B2309" s="0" t="s">
        <v>4173</v>
      </c>
      <c r="C2309" s="5">
        <f>=HYPERLINK("https://nusmods.com/modules/ME5701#timetable","Timetable")</f>
      </c>
      <c r="D2309" s="5">
        <f>=HYPERLINK("https://canvas.nus.edu.sg/courses/24848","Canvas course site")</f>
      </c>
      <c r="E2309" s="5"/>
      <c r="F2309" s="0" t="s">
        <v>10</v>
      </c>
      <c r="G2309" s="0" t="s">
        <v>3008</v>
      </c>
      <c r="H2309" s="3">
        <v>50</v>
      </c>
    </row>
    <row r="2310">
      <c r="A2310" s="0" t="s">
        <v>4174</v>
      </c>
      <c r="B2310" s="0" t="s">
        <v>649</v>
      </c>
      <c r="C2310" s="5">
        <f>=HYPERLINK("https://nusmods.com/modules/ME5999#timetable","Timetable")</f>
      </c>
      <c r="D2310" s="5"/>
      <c r="E2310" s="5"/>
      <c r="F2310" s="0" t="s">
        <v>10</v>
      </c>
      <c r="G2310" s="0" t="s">
        <v>3008</v>
      </c>
      <c r="H2310" s="3">
        <v>31</v>
      </c>
    </row>
    <row r="2311">
      <c r="A2311" s="0" t="s">
        <v>4175</v>
      </c>
      <c r="B2311" s="0" t="s">
        <v>4176</v>
      </c>
      <c r="C2311" s="5">
        <f>=HYPERLINK("https://nusmods.com/modules/ME6108#timetable","Timetable")</f>
      </c>
      <c r="D2311" s="5">
        <f>=HYPERLINK("https://canvas.nus.edu.sg/courses/24859","Canvas course site")</f>
      </c>
      <c r="E2311" s="5"/>
      <c r="F2311" s="0" t="s">
        <v>10</v>
      </c>
      <c r="G2311" s="0" t="s">
        <v>3008</v>
      </c>
      <c r="H2311" s="3">
        <v>13</v>
      </c>
    </row>
    <row r="2312">
      <c r="A2312" s="0" t="s">
        <v>4177</v>
      </c>
      <c r="B2312" s="0" t="s">
        <v>4178</v>
      </c>
      <c r="C2312" s="5">
        <f>=HYPERLINK("https://nusmods.com/modules/ME6303#timetable","Timetable")</f>
      </c>
      <c r="D2312" s="5">
        <f>=HYPERLINK("https://canvas.nus.edu.sg/courses/24864","Canvas course site")</f>
      </c>
      <c r="E2312" s="5"/>
      <c r="F2312" s="0" t="s">
        <v>10</v>
      </c>
      <c r="G2312" s="0" t="s">
        <v>3008</v>
      </c>
      <c r="H2312" s="3">
        <v>34</v>
      </c>
    </row>
    <row r="2313">
      <c r="A2313" s="0" t="s">
        <v>4179</v>
      </c>
      <c r="B2313" s="0" t="s">
        <v>4180</v>
      </c>
      <c r="C2313" s="5">
        <f>=HYPERLINK("https://nusmods.com/modules/ME6401#timetable","Timetable")</f>
      </c>
      <c r="D2313" s="5">
        <f>=HYPERLINK("https://canvas.nus.edu.sg/courses/24870","Canvas course site")</f>
      </c>
      <c r="E2313" s="5"/>
      <c r="F2313" s="0" t="s">
        <v>10</v>
      </c>
      <c r="G2313" s="0" t="s">
        <v>3008</v>
      </c>
      <c r="H2313" s="3">
        <v>65</v>
      </c>
    </row>
    <row r="2314">
      <c r="A2314" s="0" t="s">
        <v>4181</v>
      </c>
      <c r="B2314" s="0" t="s">
        <v>4182</v>
      </c>
      <c r="C2314" s="5">
        <f>=HYPERLINK("https://nusmods.com/modules/ME6504#timetable","Timetable")</f>
      </c>
      <c r="D2314" s="5"/>
      <c r="E2314" s="5"/>
      <c r="F2314" s="0" t="s">
        <v>10</v>
      </c>
      <c r="G2314" s="0" t="s">
        <v>3008</v>
      </c>
      <c r="H2314" s="3">
        <v>0</v>
      </c>
    </row>
    <row r="2315">
      <c r="A2315" s="0" t="s">
        <v>4183</v>
      </c>
      <c r="B2315" s="0" t="s">
        <v>4184</v>
      </c>
      <c r="C2315" s="5">
        <f>=HYPERLINK("https://nusmods.com/modules/ME6505#timetable","Timetable")</f>
      </c>
      <c r="D2315" s="5">
        <f>=HYPERLINK("https://canvas.nus.edu.sg/courses/24875","Canvas course site")</f>
      </c>
      <c r="E2315" s="5">
        <f>=HYPERLINK("https://luminus.nus.edu.sg/modules/4ca5f0ea-0881-43e2-8c32-cd5fcd69a287","LumiNUS course site")</f>
      </c>
      <c r="F2315" s="0" t="s">
        <v>10</v>
      </c>
      <c r="G2315" s="0" t="s">
        <v>3008</v>
      </c>
      <c r="H2315" s="3">
        <v>198</v>
      </c>
    </row>
    <row r="2316">
      <c r="A2316" s="0" t="s">
        <v>4185</v>
      </c>
      <c r="B2316" s="0" t="s">
        <v>4186</v>
      </c>
      <c r="C2316" s="5">
        <f>=HYPERLINK("https://nusmods.com/modules/ME6509#timetable","Timetable")</f>
      </c>
      <c r="D2316" s="5">
        <f>=HYPERLINK("https://canvas.nus.edu.sg/courses/24880","Canvas course site")</f>
      </c>
      <c r="E2316" s="5">
        <f>=HYPERLINK("https://luminus.nus.edu.sg/modules/196e11af-d68e-4e36-a7ba-58df9380231d","LumiNUS course site")</f>
      </c>
      <c r="F2316" s="0" t="s">
        <v>10</v>
      </c>
      <c r="G2316" s="0" t="s">
        <v>3008</v>
      </c>
      <c r="H2316" s="3">
        <v>30</v>
      </c>
    </row>
    <row r="2317">
      <c r="A2317" s="0" t="s">
        <v>4187</v>
      </c>
      <c r="B2317" s="0" t="s">
        <v>651</v>
      </c>
      <c r="C2317" s="5">
        <f>=HYPERLINK("https://nusmods.com/modules/ME6999#timetable","Timetable")</f>
      </c>
      <c r="D2317" s="5"/>
      <c r="E2317" s="5"/>
      <c r="F2317" s="0" t="s">
        <v>10</v>
      </c>
      <c r="G2317" s="0" t="s">
        <v>3008</v>
      </c>
      <c r="H2317" s="3">
        <v>183</v>
      </c>
    </row>
    <row r="2318">
      <c r="A2318" s="0" t="s">
        <v>4188</v>
      </c>
      <c r="B2318" s="0" t="s">
        <v>4189</v>
      </c>
      <c r="C2318" s="5">
        <f>=HYPERLINK("https://nusmods.com/modules/MKT1705A#timetable","Timetable")</f>
      </c>
      <c r="D2318" s="5">
        <f>=HYPERLINK("https://canvas.nus.edu.sg/courses/24890","Canvas course site")</f>
      </c>
      <c r="E2318" s="5"/>
      <c r="F2318" s="0" t="s">
        <v>28</v>
      </c>
      <c r="G2318" s="0" t="s">
        <v>531</v>
      </c>
      <c r="H2318" s="3">
        <v>94</v>
      </c>
    </row>
    <row r="2319">
      <c r="A2319" s="0" t="s">
        <v>4190</v>
      </c>
      <c r="B2319" s="0" t="s">
        <v>4189</v>
      </c>
      <c r="C2319" s="5">
        <f>=HYPERLINK("https://nusmods.com/modules/MKT1705B#timetable","Timetable")</f>
      </c>
      <c r="D2319" s="5">
        <f>=HYPERLINK("https://canvas.nus.edu.sg/courses/24896","Canvas course site")</f>
      </c>
      <c r="E2319" s="5"/>
      <c r="F2319" s="0" t="s">
        <v>28</v>
      </c>
      <c r="G2319" s="0" t="s">
        <v>531</v>
      </c>
      <c r="H2319" s="3">
        <v>171</v>
      </c>
    </row>
    <row r="2320">
      <c r="A2320" s="0" t="s">
        <v>4191</v>
      </c>
      <c r="B2320" s="0" t="s">
        <v>4189</v>
      </c>
      <c r="C2320" s="5">
        <f>=HYPERLINK("https://nusmods.com/modules/MKT1705C#timetable","Timetable")</f>
      </c>
      <c r="D2320" s="5"/>
      <c r="E2320" s="5">
        <f>=HYPERLINK("https://luminus.nus.edu.sg/modules/c790aeca-60e8-4878-b9bd-a06c3a5c93ff","LumiNUS course site")</f>
      </c>
      <c r="F2320" s="0" t="s">
        <v>28</v>
      </c>
      <c r="G2320" s="0" t="s">
        <v>531</v>
      </c>
      <c r="H2320" s="3">
        <v>39</v>
      </c>
    </row>
    <row r="2321">
      <c r="A2321" s="0" t="s">
        <v>4192</v>
      </c>
      <c r="B2321" s="0" t="s">
        <v>4189</v>
      </c>
      <c r="C2321" s="5">
        <f>=HYPERLINK("https://nusmods.com/modules/MKT1705D#timetable","Timetable")</f>
      </c>
      <c r="D2321" s="5">
        <f>=HYPERLINK("https://canvas.nus.edu.sg/courses/24907","Canvas course site")</f>
      </c>
      <c r="E2321" s="5"/>
      <c r="F2321" s="0" t="s">
        <v>28</v>
      </c>
      <c r="G2321" s="0" t="s">
        <v>531</v>
      </c>
      <c r="H2321" s="3">
        <v>118</v>
      </c>
    </row>
    <row r="2322">
      <c r="A2322" s="0" t="s">
        <v>4193</v>
      </c>
      <c r="B2322" s="0" t="s">
        <v>4189</v>
      </c>
      <c r="C2322" s="5">
        <f>=HYPERLINK("https://nusmods.com/modules/MKT1705E#timetable","Timetable")</f>
      </c>
      <c r="D2322" s="5">
        <f>=HYPERLINK("https://canvas.nus.edu.sg/courses/24912","Canvas course site")</f>
      </c>
      <c r="E2322" s="5"/>
      <c r="F2322" s="0" t="s">
        <v>28</v>
      </c>
      <c r="G2322" s="0" t="s">
        <v>531</v>
      </c>
      <c r="H2322" s="3">
        <v>72</v>
      </c>
    </row>
    <row r="2323">
      <c r="A2323" s="0" t="s">
        <v>4194</v>
      </c>
      <c r="B2323" s="0" t="s">
        <v>4189</v>
      </c>
      <c r="C2323" s="5">
        <f>=HYPERLINK("https://nusmods.com/modules/MKT1705F#timetable","Timetable")</f>
      </c>
      <c r="D2323" s="5"/>
      <c r="E2323" s="5">
        <f>=HYPERLINK("https://luminus.nus.edu.sg/modules/c9674f37-c891-4078-8752-1527ade30ed0","LumiNUS course site")</f>
      </c>
      <c r="F2323" s="0" t="s">
        <v>28</v>
      </c>
      <c r="G2323" s="0" t="s">
        <v>531</v>
      </c>
      <c r="H2323" s="3">
        <v>25</v>
      </c>
    </row>
    <row r="2324">
      <c r="A2324" s="0" t="s">
        <v>4195</v>
      </c>
      <c r="B2324" s="0" t="s">
        <v>4189</v>
      </c>
      <c r="C2324" s="5">
        <f>=HYPERLINK("https://nusmods.com/modules/MKT1705X#timetable","Timetable")</f>
      </c>
      <c r="D2324" s="5"/>
      <c r="E2324" s="5">
        <f>=HYPERLINK("https://luminus.nus.edu.sg/modules/35f3f722-26a4-439c-8ec6-ce05966dbabd","LumiNUS course site")</f>
      </c>
      <c r="F2324" s="0" t="s">
        <v>28</v>
      </c>
      <c r="G2324" s="0" t="s">
        <v>531</v>
      </c>
      <c r="H2324" s="3">
        <v>231</v>
      </c>
    </row>
    <row r="2325">
      <c r="A2325" s="0" t="s">
        <v>4196</v>
      </c>
      <c r="B2325" s="0" t="s">
        <v>528</v>
      </c>
      <c r="C2325" s="5">
        <f>=HYPERLINK("https://nusmods.com/modules/MKT2711A#timetable","Timetable")</f>
      </c>
      <c r="D2325" s="5"/>
      <c r="E2325" s="5">
        <f>=HYPERLINK("https://luminus.nus.edu.sg/modules/9a3efc7e-833e-4423-af6e-8d3a6e1c2dd5","LumiNUS course site")</f>
      </c>
      <c r="F2325" s="0" t="s">
        <v>28</v>
      </c>
      <c r="G2325" s="0" t="s">
        <v>531</v>
      </c>
      <c r="H2325" s="3">
        <v>50</v>
      </c>
    </row>
    <row r="2326">
      <c r="A2326" s="0" t="s">
        <v>4197</v>
      </c>
      <c r="B2326" s="0" t="s">
        <v>528</v>
      </c>
      <c r="C2326" s="5">
        <f>=HYPERLINK("https://nusmods.com/modules/MKT2711B#timetable","Timetable")</f>
      </c>
      <c r="D2326" s="5">
        <f>=HYPERLINK("https://canvas.nus.edu.sg/courses/24928","Canvas course site")</f>
      </c>
      <c r="E2326" s="5"/>
      <c r="F2326" s="0" t="s">
        <v>28</v>
      </c>
      <c r="G2326" s="0" t="s">
        <v>531</v>
      </c>
      <c r="H2326" s="3">
        <v>50</v>
      </c>
    </row>
    <row r="2327">
      <c r="A2327" s="0" t="s">
        <v>4198</v>
      </c>
      <c r="B2327" s="0" t="s">
        <v>4199</v>
      </c>
      <c r="C2327" s="5">
        <f>=HYPERLINK("https://nusmods.com/modules/MKT3429#timetable","Timetable")</f>
      </c>
      <c r="D2327" s="5"/>
      <c r="E2327" s="5"/>
      <c r="F2327" s="0" t="s">
        <v>28</v>
      </c>
      <c r="G2327" s="0" t="s">
        <v>531</v>
      </c>
      <c r="H2327" s="3">
        <v>0</v>
      </c>
    </row>
    <row r="2328">
      <c r="A2328" s="0" t="s">
        <v>4200</v>
      </c>
      <c r="B2328" s="0" t="s">
        <v>4199</v>
      </c>
      <c r="C2328" s="5">
        <f>=HYPERLINK("https://nusmods.com/modules/MKT3439#timetable","Timetable")</f>
      </c>
      <c r="D2328" s="5"/>
      <c r="E2328" s="5"/>
      <c r="F2328" s="0" t="s">
        <v>28</v>
      </c>
      <c r="G2328" s="0" t="s">
        <v>531</v>
      </c>
      <c r="H2328" s="3">
        <v>0</v>
      </c>
    </row>
    <row r="2329">
      <c r="A2329" s="0" t="s">
        <v>4201</v>
      </c>
      <c r="B2329" s="0" t="s">
        <v>4202</v>
      </c>
      <c r="C2329" s="5">
        <f>=HYPERLINK("https://nusmods.com/modules/MKT3701A#timetable","Timetable")</f>
      </c>
      <c r="D2329" s="5"/>
      <c r="E2329" s="5">
        <f>=HYPERLINK("https://luminus.nus.edu.sg/modules/297664b6-25d6-4978-be92-36c2a80ee30a","LumiNUS course site")</f>
      </c>
      <c r="F2329" s="0" t="s">
        <v>28</v>
      </c>
      <c r="G2329" s="0" t="s">
        <v>531</v>
      </c>
      <c r="H2329" s="3">
        <v>158</v>
      </c>
    </row>
    <row r="2330">
      <c r="A2330" s="0" t="s">
        <v>4203</v>
      </c>
      <c r="B2330" s="0" t="s">
        <v>4202</v>
      </c>
      <c r="C2330" s="5">
        <f>=HYPERLINK("https://nusmods.com/modules/MKT3701B#timetable","Timetable")</f>
      </c>
      <c r="D2330" s="5">
        <f>=HYPERLINK("https://canvas.nus.edu.sg/courses/25001","Canvas course site")</f>
      </c>
      <c r="E2330" s="5"/>
      <c r="F2330" s="0" t="s">
        <v>28</v>
      </c>
      <c r="G2330" s="0" t="s">
        <v>531</v>
      </c>
      <c r="H2330" s="3">
        <v>40</v>
      </c>
    </row>
    <row r="2331">
      <c r="A2331" s="0" t="s">
        <v>4204</v>
      </c>
      <c r="B2331" s="0" t="s">
        <v>4205</v>
      </c>
      <c r="C2331" s="5">
        <f>=HYPERLINK("https://nusmods.com/modules/MKT3702A#timetable","Timetable")</f>
      </c>
      <c r="D2331" s="5">
        <f>=HYPERLINK("https://canvas.nus.edu.sg/courses/25006","Canvas course site")</f>
      </c>
      <c r="E2331" s="5"/>
      <c r="F2331" s="0" t="s">
        <v>28</v>
      </c>
      <c r="G2331" s="0" t="s">
        <v>531</v>
      </c>
      <c r="H2331" s="3">
        <v>105</v>
      </c>
    </row>
    <row r="2332">
      <c r="A2332" s="0" t="s">
        <v>4206</v>
      </c>
      <c r="B2332" s="0" t="s">
        <v>4205</v>
      </c>
      <c r="C2332" s="5">
        <f>=HYPERLINK("https://nusmods.com/modules/MKT3702B#timetable","Timetable")</f>
      </c>
      <c r="D2332" s="5"/>
      <c r="E2332" s="5">
        <f>=HYPERLINK("https://luminus.nus.edu.sg/modules/93b51072-e7e9-4eea-adc0-7f29366bdb95","LumiNUS course site")</f>
      </c>
      <c r="F2332" s="0" t="s">
        <v>28</v>
      </c>
      <c r="G2332" s="0" t="s">
        <v>531</v>
      </c>
      <c r="H2332" s="3">
        <v>89</v>
      </c>
    </row>
    <row r="2333">
      <c r="A2333" s="0" t="s">
        <v>4207</v>
      </c>
      <c r="B2333" s="0" t="s">
        <v>4208</v>
      </c>
      <c r="C2333" s="5">
        <f>=HYPERLINK("https://nusmods.com/modules/MKT3711#timetable","Timetable")</f>
      </c>
      <c r="D2333" s="5"/>
      <c r="E2333" s="5">
        <f>=HYPERLINK("https://luminus.nus.edu.sg/modules/493e08d7-f004-46b1-bd3b-5029c32c9885","LumiNUS course site")</f>
      </c>
      <c r="F2333" s="0" t="s">
        <v>28</v>
      </c>
      <c r="G2333" s="0" t="s">
        <v>531</v>
      </c>
      <c r="H2333" s="3">
        <v>63</v>
      </c>
    </row>
    <row r="2334">
      <c r="A2334" s="0" t="s">
        <v>4209</v>
      </c>
      <c r="B2334" s="0" t="s">
        <v>515</v>
      </c>
      <c r="C2334" s="5">
        <f>=HYPERLINK("https://nusmods.com/modules/MKT3714A#timetable","Timetable")</f>
      </c>
      <c r="D2334" s="5"/>
      <c r="E2334" s="5">
        <f>=HYPERLINK("https://luminus.nus.edu.sg/modules/e57a6b83-9e84-48a5-93a8-cbc7cd6a1387","LumiNUS course site")</f>
      </c>
      <c r="F2334" s="0" t="s">
        <v>28</v>
      </c>
      <c r="G2334" s="0" t="s">
        <v>531</v>
      </c>
      <c r="H2334" s="3">
        <v>127</v>
      </c>
    </row>
    <row r="2335">
      <c r="A2335" s="0" t="s">
        <v>4210</v>
      </c>
      <c r="B2335" s="0" t="s">
        <v>515</v>
      </c>
      <c r="C2335" s="5">
        <f>=HYPERLINK("https://nusmods.com/modules/MKT3714B#timetable","Timetable")</f>
      </c>
      <c r="D2335" s="5"/>
      <c r="E2335" s="5">
        <f>=HYPERLINK("https://luminus.nus.edu.sg/modules/105513c2-9ad7-44b4-a5e3-53c8f8496415","LumiNUS course site")</f>
      </c>
      <c r="F2335" s="0" t="s">
        <v>28</v>
      </c>
      <c r="G2335" s="0" t="s">
        <v>531</v>
      </c>
      <c r="H2335" s="3">
        <v>17</v>
      </c>
    </row>
    <row r="2336">
      <c r="A2336" s="0" t="s">
        <v>4211</v>
      </c>
      <c r="B2336" s="0" t="s">
        <v>4212</v>
      </c>
      <c r="C2336" s="5">
        <f>=HYPERLINK("https://nusmods.com/modules/MKT3715#timetable","Timetable")</f>
      </c>
      <c r="D2336" s="5"/>
      <c r="E2336" s="5">
        <f>=HYPERLINK("https://luminus.nus.edu.sg/modules/956a1f4e-0795-4a66-8716-9507df6410d4","LumiNUS course site")</f>
      </c>
      <c r="F2336" s="0" t="s">
        <v>28</v>
      </c>
      <c r="G2336" s="0" t="s">
        <v>531</v>
      </c>
      <c r="H2336" s="3">
        <v>42</v>
      </c>
    </row>
    <row r="2337">
      <c r="A2337" s="0" t="s">
        <v>4213</v>
      </c>
      <c r="B2337" s="0" t="s">
        <v>571</v>
      </c>
      <c r="C2337" s="5">
        <f>=HYPERLINK("https://nusmods.com/modules/MKT3717#timetable","Timetable")</f>
      </c>
      <c r="D2337" s="5">
        <f>=HYPERLINK("https://canvas.nus.edu.sg/courses/25038","Canvas course site")</f>
      </c>
      <c r="E2337" s="5">
        <f>=HYPERLINK("https://luminus.nus.edu.sg/modules/bc94580c-25f3-4c2c-b7d9-15c4245eefda","LumiNUS course site")</f>
      </c>
      <c r="F2337" s="0" t="s">
        <v>28</v>
      </c>
      <c r="G2337" s="0" t="s">
        <v>531</v>
      </c>
      <c r="H2337" s="3">
        <v>60</v>
      </c>
    </row>
    <row r="2338">
      <c r="A2338" s="0" t="s">
        <v>4214</v>
      </c>
      <c r="B2338" s="0" t="s">
        <v>4215</v>
      </c>
      <c r="C2338" s="5">
        <f>=HYPERLINK("https://nusmods.com/modules/MKT3718#timetable","Timetable")</f>
      </c>
      <c r="D2338" s="5">
        <f>=HYPERLINK("https://canvas.nus.edu.sg/courses/25043","Canvas course site")</f>
      </c>
      <c r="E2338" s="5"/>
      <c r="F2338" s="0" t="s">
        <v>28</v>
      </c>
      <c r="G2338" s="0" t="s">
        <v>531</v>
      </c>
      <c r="H2338" s="3">
        <v>78</v>
      </c>
    </row>
    <row r="2339">
      <c r="A2339" s="0" t="s">
        <v>4216</v>
      </c>
      <c r="B2339" s="0" t="s">
        <v>359</v>
      </c>
      <c r="C2339" s="5">
        <f>=HYPERLINK("https://nusmods.com/modules/MKT3722#timetable","Timetable")</f>
      </c>
      <c r="D2339" s="5">
        <f>=HYPERLINK("https://canvas.nus.edu.sg/courses/25048","Canvas course site")</f>
      </c>
      <c r="E2339" s="5"/>
      <c r="F2339" s="0" t="s">
        <v>28</v>
      </c>
      <c r="G2339" s="0" t="s">
        <v>531</v>
      </c>
      <c r="H2339" s="3">
        <v>17</v>
      </c>
    </row>
    <row r="2340">
      <c r="A2340" s="0" t="s">
        <v>4217</v>
      </c>
      <c r="B2340" s="0" t="s">
        <v>4218</v>
      </c>
      <c r="C2340" s="5">
        <f>=HYPERLINK("https://nusmods.com/modules/MKT3724#timetable","Timetable")</f>
      </c>
      <c r="D2340" s="5">
        <f>=HYPERLINK("https://canvas.nus.edu.sg/courses/27317","Canvas course site")</f>
      </c>
      <c r="E2340" s="5"/>
      <c r="F2340" s="0" t="s">
        <v>28</v>
      </c>
      <c r="G2340" s="0" t="s">
        <v>531</v>
      </c>
      <c r="H2340" s="3">
        <v>33</v>
      </c>
    </row>
    <row r="2341">
      <c r="A2341" s="0" t="s">
        <v>4219</v>
      </c>
      <c r="B2341" s="0" t="s">
        <v>4199</v>
      </c>
      <c r="C2341" s="5">
        <f>=HYPERLINK("https://nusmods.com/modules/MKT3751#timetable","Timetable")</f>
      </c>
      <c r="D2341" s="5"/>
      <c r="E2341" s="5"/>
      <c r="F2341" s="0" t="s">
        <v>28</v>
      </c>
      <c r="G2341" s="0" t="s">
        <v>531</v>
      </c>
      <c r="H2341" s="3">
        <v>0</v>
      </c>
    </row>
    <row r="2342">
      <c r="A2342" s="0" t="s">
        <v>4220</v>
      </c>
      <c r="B2342" s="0" t="s">
        <v>4221</v>
      </c>
      <c r="C2342" s="5">
        <f>=HYPERLINK("https://nusmods.com/modules/MKT3752#timetable","Timetable")</f>
      </c>
      <c r="D2342" s="5"/>
      <c r="E2342" s="5"/>
      <c r="F2342" s="0" t="s">
        <v>28</v>
      </c>
      <c r="G2342" s="0" t="s">
        <v>531</v>
      </c>
      <c r="H2342" s="3">
        <v>0</v>
      </c>
    </row>
    <row r="2343">
      <c r="A2343" s="0" t="s">
        <v>4222</v>
      </c>
      <c r="B2343" s="0" t="s">
        <v>4223</v>
      </c>
      <c r="C2343" s="5">
        <f>=HYPERLINK("https://nusmods.com/modules/MKT4419#timetable","Timetable")</f>
      </c>
      <c r="D2343" s="5"/>
      <c r="E2343" s="5"/>
      <c r="F2343" s="0" t="s">
        <v>28</v>
      </c>
      <c r="G2343" s="0" t="s">
        <v>531</v>
      </c>
      <c r="H2343" s="3">
        <v>0</v>
      </c>
    </row>
    <row r="2344">
      <c r="A2344" s="0" t="s">
        <v>4224</v>
      </c>
      <c r="B2344" s="0" t="s">
        <v>4223</v>
      </c>
      <c r="C2344" s="5">
        <f>=HYPERLINK("https://nusmods.com/modules/MKT4429#timetable","Timetable")</f>
      </c>
      <c r="D2344" s="5"/>
      <c r="E2344" s="5"/>
      <c r="F2344" s="0" t="s">
        <v>28</v>
      </c>
      <c r="G2344" s="0" t="s">
        <v>531</v>
      </c>
      <c r="H2344" s="3">
        <v>0</v>
      </c>
    </row>
    <row r="2345">
      <c r="A2345" s="0" t="s">
        <v>4225</v>
      </c>
      <c r="B2345" s="0" t="s">
        <v>361</v>
      </c>
      <c r="C2345" s="5">
        <f>=HYPERLINK("https://nusmods.com/modules/MKT4719#timetable","Timetable")</f>
      </c>
      <c r="D2345" s="5"/>
      <c r="E2345" s="5">
        <f>=HYPERLINK("https://luminus.nus.edu.sg/modules/448ad49e-b64e-4993-9845-2f2beefb00aa","LumiNUS course site")</f>
      </c>
      <c r="F2345" s="0" t="s">
        <v>28</v>
      </c>
      <c r="G2345" s="0" t="s">
        <v>531</v>
      </c>
      <c r="H2345" s="3">
        <v>49</v>
      </c>
    </row>
    <row r="2346">
      <c r="A2346" s="0" t="s">
        <v>4226</v>
      </c>
      <c r="B2346" s="0" t="s">
        <v>4227</v>
      </c>
      <c r="C2346" s="5">
        <f>=HYPERLINK("https://nusmods.com/modules/MKT4720#timetable","Timetable")</f>
      </c>
      <c r="D2346" s="5"/>
      <c r="E2346" s="5">
        <f>=HYPERLINK("https://luminus.nus.edu.sg/modules/2b972030-6e36-4d6c-b912-cefaf3b6a1f2","LumiNUS course site")</f>
      </c>
      <c r="F2346" s="0" t="s">
        <v>28</v>
      </c>
      <c r="G2346" s="0" t="s">
        <v>531</v>
      </c>
      <c r="H2346" s="3">
        <v>95</v>
      </c>
    </row>
    <row r="2347">
      <c r="A2347" s="0" t="s">
        <v>4228</v>
      </c>
      <c r="B2347" s="0" t="s">
        <v>4229</v>
      </c>
      <c r="C2347" s="5">
        <f>=HYPERLINK("https://nusmods.com/modules/MKT4722#timetable","Timetable")</f>
      </c>
      <c r="D2347" s="5">
        <f>=HYPERLINK("https://canvas.nus.edu.sg/courses/26331","Canvas course site")</f>
      </c>
      <c r="E2347" s="5">
        <f>=HYPERLINK("https://luminus.nus.edu.sg/modules/83689dc9-e473-4687-a211-a55959240dc3","LumiNUS course site")</f>
      </c>
      <c r="F2347" s="0" t="s">
        <v>28</v>
      </c>
      <c r="G2347" s="0" t="s">
        <v>531</v>
      </c>
      <c r="H2347" s="3">
        <v>34</v>
      </c>
    </row>
    <row r="2348">
      <c r="A2348" s="0" t="s">
        <v>4230</v>
      </c>
      <c r="B2348" s="0" t="s">
        <v>4231</v>
      </c>
      <c r="C2348" s="5">
        <f>=HYPERLINK("https://nusmods.com/modules/MKT4723#timetable","Timetable")</f>
      </c>
      <c r="D2348" s="5"/>
      <c r="E2348" s="5">
        <f>=HYPERLINK("https://luminus.nus.edu.sg/modules/d370e2b8-ae53-47c9-8756-3ea26e73effb","LumiNUS course site")</f>
      </c>
      <c r="F2348" s="0" t="s">
        <v>28</v>
      </c>
      <c r="G2348" s="0" t="s">
        <v>531</v>
      </c>
      <c r="H2348" s="3">
        <v>49</v>
      </c>
    </row>
    <row r="2349">
      <c r="A2349" s="0" t="s">
        <v>4232</v>
      </c>
      <c r="B2349" s="0" t="s">
        <v>4223</v>
      </c>
      <c r="C2349" s="5">
        <f>=HYPERLINK("https://nusmods.com/modules/MKT4751#timetable","Timetable")</f>
      </c>
      <c r="D2349" s="5"/>
      <c r="E2349" s="5"/>
      <c r="F2349" s="0" t="s">
        <v>28</v>
      </c>
      <c r="G2349" s="0" t="s">
        <v>531</v>
      </c>
      <c r="H2349" s="3">
        <v>2</v>
      </c>
    </row>
    <row r="2350">
      <c r="A2350" s="0" t="s">
        <v>4233</v>
      </c>
      <c r="B2350" s="0" t="s">
        <v>4234</v>
      </c>
      <c r="C2350" s="5">
        <f>=HYPERLINK("https://nusmods.com/modules/MKT4752#timetable","Timetable")</f>
      </c>
      <c r="D2350" s="5"/>
      <c r="E2350" s="5"/>
      <c r="F2350" s="0" t="s">
        <v>28</v>
      </c>
      <c r="G2350" s="0" t="s">
        <v>531</v>
      </c>
      <c r="H2350" s="3">
        <v>0</v>
      </c>
    </row>
    <row r="2351">
      <c r="A2351" s="0" t="s">
        <v>4235</v>
      </c>
      <c r="B2351" s="0" t="s">
        <v>4236</v>
      </c>
      <c r="C2351" s="5">
        <f>=HYPERLINK("https://nusmods.com/modules/MKT4761F#timetable","Timetable")</f>
      </c>
      <c r="D2351" s="5"/>
      <c r="E2351" s="5">
        <f>=HYPERLINK("https://luminus.nus.edu.sg/modules/16d2820f-2aa1-4ba6-ba39-5e28fe6409fb","LumiNUS course site")</f>
      </c>
      <c r="F2351" s="0" t="s">
        <v>28</v>
      </c>
      <c r="G2351" s="0" t="s">
        <v>531</v>
      </c>
      <c r="H2351" s="3">
        <v>50</v>
      </c>
    </row>
    <row r="2352">
      <c r="A2352" s="0" t="s">
        <v>4237</v>
      </c>
      <c r="B2352" s="0" t="s">
        <v>4238</v>
      </c>
      <c r="C2352" s="5">
        <f>=HYPERLINK("https://nusmods.com/modules/MKT4811#timetable","Timetable")</f>
      </c>
      <c r="D2352" s="5"/>
      <c r="E2352" s="5">
        <f>=HYPERLINK("https://luminus.nus.edu.sg/modules/46ae6969-78c6-48b5-b08c-7590b7a49c11","LumiNUS course site")</f>
      </c>
      <c r="F2352" s="0" t="s">
        <v>28</v>
      </c>
      <c r="G2352" s="0" t="s">
        <v>531</v>
      </c>
      <c r="H2352" s="3">
        <v>92</v>
      </c>
    </row>
    <row r="2353">
      <c r="A2353" s="0" t="s">
        <v>4239</v>
      </c>
      <c r="B2353" s="0" t="s">
        <v>513</v>
      </c>
      <c r="C2353" s="5">
        <f>=HYPERLINK("https://nusmods.com/modules/MKT4812#timetable","Timetable")</f>
      </c>
      <c r="D2353" s="5">
        <f>=HYPERLINK("https://canvas.nus.edu.sg/courses/26668","Canvas course site")</f>
      </c>
      <c r="E2353" s="5"/>
      <c r="F2353" s="0" t="s">
        <v>28</v>
      </c>
      <c r="G2353" s="0" t="s">
        <v>531</v>
      </c>
      <c r="H2353" s="3">
        <v>51</v>
      </c>
    </row>
    <row r="2354">
      <c r="A2354" s="0" t="s">
        <v>4240</v>
      </c>
      <c r="B2354" s="0" t="s">
        <v>4241</v>
      </c>
      <c r="C2354" s="5">
        <f>=HYPERLINK("https://nusmods.com/modules/MLE1001B#timetable","Timetable")</f>
      </c>
      <c r="D2354" s="5">
        <f>=HYPERLINK("https://canvas.nus.edu.sg/courses/25127","Canvas course site")</f>
      </c>
      <c r="E2354" s="5"/>
      <c r="F2354" s="0" t="s">
        <v>10</v>
      </c>
      <c r="G2354" s="0" t="s">
        <v>4242</v>
      </c>
      <c r="H2354" s="3">
        <v>44</v>
      </c>
    </row>
    <row r="2355">
      <c r="A2355" s="0" t="s">
        <v>4243</v>
      </c>
      <c r="B2355" s="0" t="s">
        <v>4244</v>
      </c>
      <c r="C2355" s="5">
        <f>=HYPERLINK("https://nusmods.com/modules/MLE1010#timetable","Timetable")</f>
      </c>
      <c r="D2355" s="5"/>
      <c r="E2355" s="5"/>
      <c r="F2355" s="0" t="s">
        <v>10</v>
      </c>
      <c r="G2355" s="0" t="s">
        <v>4242</v>
      </c>
      <c r="H2355" s="3">
        <v>0</v>
      </c>
    </row>
    <row r="2356">
      <c r="A2356" s="0" t="s">
        <v>4245</v>
      </c>
      <c r="B2356" s="0" t="s">
        <v>4246</v>
      </c>
      <c r="C2356" s="5">
        <f>=HYPERLINK("https://nusmods.com/modules/MLE2101#timetable","Timetable")</f>
      </c>
      <c r="D2356" s="5"/>
      <c r="E2356" s="5">
        <f>=HYPERLINK("https://luminus.nus.edu.sg/modules/034d5ba2-2397-457f-86b8-f6be7927d4f4","LumiNUS course site")</f>
      </c>
      <c r="F2356" s="0" t="s">
        <v>10</v>
      </c>
      <c r="G2356" s="0" t="s">
        <v>4242</v>
      </c>
      <c r="H2356" s="3">
        <v>15</v>
      </c>
    </row>
    <row r="2357">
      <c r="A2357" s="0" t="s">
        <v>4247</v>
      </c>
      <c r="B2357" s="0" t="s">
        <v>4248</v>
      </c>
      <c r="C2357" s="5">
        <f>=HYPERLINK("https://nusmods.com/modules/MLE2102#timetable","Timetable")</f>
      </c>
      <c r="D2357" s="5"/>
      <c r="E2357" s="5">
        <f>=HYPERLINK("https://luminus.nus.edu.sg/modules/da181173-77e3-45ab-af4f-9c5ae6e6d5ae","LumiNUS course site")</f>
      </c>
      <c r="F2357" s="0" t="s">
        <v>10</v>
      </c>
      <c r="G2357" s="0" t="s">
        <v>4242</v>
      </c>
      <c r="H2357" s="3">
        <v>69</v>
      </c>
    </row>
    <row r="2358">
      <c r="A2358" s="0" t="s">
        <v>4249</v>
      </c>
      <c r="B2358" s="0" t="s">
        <v>4250</v>
      </c>
      <c r="C2358" s="5">
        <f>=HYPERLINK("https://nusmods.com/modules/MLE2103#timetable","Timetable")</f>
      </c>
      <c r="D2358" s="5"/>
      <c r="E2358" s="5">
        <f>=HYPERLINK("https://luminus.nus.edu.sg/modules/0a8e3a26-fba0-47fd-8a14-261141fa4755","LumiNUS course site")</f>
      </c>
      <c r="F2358" s="0" t="s">
        <v>10</v>
      </c>
      <c r="G2358" s="0" t="s">
        <v>4242</v>
      </c>
      <c r="H2358" s="3">
        <v>11</v>
      </c>
    </row>
    <row r="2359">
      <c r="A2359" s="0" t="s">
        <v>4251</v>
      </c>
      <c r="B2359" s="0" t="s">
        <v>4252</v>
      </c>
      <c r="C2359" s="5">
        <f>=HYPERLINK("https://nusmods.com/modules/MLE2301#timetable","Timetable")</f>
      </c>
      <c r="D2359" s="5"/>
      <c r="E2359" s="5">
        <f>=HYPERLINK("https://luminus.nus.edu.sg/modules/966e2169-7d84-4c92-9bc9-8428560822fd","LumiNUS course site")</f>
      </c>
      <c r="F2359" s="0" t="s">
        <v>10</v>
      </c>
      <c r="G2359" s="0" t="s">
        <v>4242</v>
      </c>
      <c r="H2359" s="3">
        <v>7</v>
      </c>
    </row>
    <row r="2360">
      <c r="A2360" s="0" t="s">
        <v>4253</v>
      </c>
      <c r="B2360" s="0" t="s">
        <v>4254</v>
      </c>
      <c r="C2360" s="5">
        <f>=HYPERLINK("https://nusmods.com/modules/MLE3102#timetable","Timetable")</f>
      </c>
      <c r="D2360" s="5">
        <f>=HYPERLINK("https://canvas.nus.edu.sg/courses/25157","Canvas course site")</f>
      </c>
      <c r="E2360" s="5">
        <f>=HYPERLINK("https://luminus.nus.edu.sg/modules/62ee5aed-db28-4210-94cb-b0471b4d3cb7","LumiNUS course site")</f>
      </c>
      <c r="F2360" s="0" t="s">
        <v>10</v>
      </c>
      <c r="G2360" s="0" t="s">
        <v>4242</v>
      </c>
      <c r="H2360" s="3">
        <v>19</v>
      </c>
    </row>
    <row r="2361">
      <c r="A2361" s="0" t="s">
        <v>4255</v>
      </c>
      <c r="B2361" s="0" t="s">
        <v>4256</v>
      </c>
      <c r="C2361" s="5">
        <f>=HYPERLINK("https://nusmods.com/modules/MLE3104#timetable","Timetable")</f>
      </c>
      <c r="D2361" s="5">
        <f>=HYPERLINK("https://canvas.nus.edu.sg/courses/25162","Canvas course site")</f>
      </c>
      <c r="E2361" s="5"/>
      <c r="F2361" s="0" t="s">
        <v>10</v>
      </c>
      <c r="G2361" s="0" t="s">
        <v>4242</v>
      </c>
      <c r="H2361" s="3">
        <v>16</v>
      </c>
    </row>
    <row r="2362">
      <c r="A2362" s="0" t="s">
        <v>4257</v>
      </c>
      <c r="B2362" s="0" t="s">
        <v>4258</v>
      </c>
      <c r="C2362" s="5">
        <f>=HYPERLINK("https://nusmods.com/modules/MLE3105#timetable","Timetable")</f>
      </c>
      <c r="D2362" s="5"/>
      <c r="E2362" s="5">
        <f>=HYPERLINK("https://luminus.nus.edu.sg/modules/f42f10fd-452c-4cc3-9ba0-98bece3fb9bb","LumiNUS course site")</f>
      </c>
      <c r="F2362" s="0" t="s">
        <v>10</v>
      </c>
      <c r="G2362" s="0" t="s">
        <v>4242</v>
      </c>
      <c r="H2362" s="3">
        <v>9</v>
      </c>
    </row>
    <row r="2363">
      <c r="A2363" s="0" t="s">
        <v>4259</v>
      </c>
      <c r="B2363" s="0" t="s">
        <v>4260</v>
      </c>
      <c r="C2363" s="5">
        <f>=HYPERLINK("https://nusmods.com/modules/MLE3111#timetable","Timetable")</f>
      </c>
      <c r="D2363" s="5"/>
      <c r="E2363" s="5">
        <f>=HYPERLINK("https://luminus.nus.edu.sg/modules/02dbc55a-281c-454c-bf25-878c16bbdaad","LumiNUS course site")</f>
      </c>
      <c r="F2363" s="0" t="s">
        <v>10</v>
      </c>
      <c r="G2363" s="0" t="s">
        <v>4242</v>
      </c>
      <c r="H2363" s="3">
        <v>25</v>
      </c>
    </row>
    <row r="2364">
      <c r="A2364" s="0" t="s">
        <v>4261</v>
      </c>
      <c r="B2364" s="0" t="s">
        <v>612</v>
      </c>
      <c r="C2364" s="5">
        <f>=HYPERLINK("https://nusmods.com/modules/MLE4101#timetable","Timetable")</f>
      </c>
      <c r="D2364" s="5"/>
      <c r="E2364" s="5">
        <f>=HYPERLINK("https://luminus.nus.edu.sg/modules/4757f050-4c09-4752-a0ae-e7fe562f3867","LumiNUS course site")</f>
      </c>
      <c r="F2364" s="0" t="s">
        <v>10</v>
      </c>
      <c r="G2364" s="0" t="s">
        <v>4242</v>
      </c>
      <c r="H2364" s="3">
        <v>12</v>
      </c>
    </row>
    <row r="2365">
      <c r="A2365" s="0" t="s">
        <v>4262</v>
      </c>
      <c r="B2365" s="0" t="s">
        <v>4263</v>
      </c>
      <c r="C2365" s="5">
        <f>=HYPERLINK("https://nusmods.com/modules/MLE4101A#timetable","Timetable")</f>
      </c>
      <c r="D2365" s="5"/>
      <c r="E2365" s="5">
        <f>=HYPERLINK("https://luminus.nus.edu.sg/modules/471e7572-bf46-4064-b459-653542bcc6d4","LumiNUS course site")</f>
      </c>
      <c r="F2365" s="0" t="s">
        <v>10</v>
      </c>
      <c r="G2365" s="0" t="s">
        <v>4242</v>
      </c>
      <c r="H2365" s="3">
        <v>50</v>
      </c>
    </row>
    <row r="2366">
      <c r="A2366" s="0" t="s">
        <v>4264</v>
      </c>
      <c r="B2366" s="0" t="s">
        <v>814</v>
      </c>
      <c r="C2366" s="5">
        <f>=HYPERLINK("https://nusmods.com/modules/MLE4102#timetable","Timetable")</f>
      </c>
      <c r="D2366" s="5">
        <f>=HYPERLINK("https://canvas.nus.edu.sg/courses/25188","Canvas course site")</f>
      </c>
      <c r="E2366" s="5"/>
      <c r="F2366" s="0" t="s">
        <v>10</v>
      </c>
      <c r="G2366" s="0" t="s">
        <v>4242</v>
      </c>
      <c r="H2366" s="3">
        <v>11</v>
      </c>
    </row>
    <row r="2367">
      <c r="A2367" s="0" t="s">
        <v>4265</v>
      </c>
      <c r="B2367" s="0" t="s">
        <v>814</v>
      </c>
      <c r="C2367" s="5">
        <f>=HYPERLINK("https://nusmods.com/modules/MLE4102A#timetable","Timetable")</f>
      </c>
      <c r="D2367" s="5">
        <f>=HYPERLINK("https://canvas.nus.edu.sg/courses/25194","Canvas course site")</f>
      </c>
      <c r="E2367" s="5"/>
      <c r="F2367" s="0" t="s">
        <v>10</v>
      </c>
      <c r="G2367" s="0" t="s">
        <v>4242</v>
      </c>
      <c r="H2367" s="3">
        <v>54</v>
      </c>
    </row>
    <row r="2368">
      <c r="A2368" s="0" t="s">
        <v>4266</v>
      </c>
      <c r="B2368" s="0" t="s">
        <v>4267</v>
      </c>
      <c r="C2368" s="5">
        <f>=HYPERLINK("https://nusmods.com/modules/MLE4201#timetable","Timetable")</f>
      </c>
      <c r="D2368" s="5"/>
      <c r="E2368" s="5">
        <f>=HYPERLINK("https://luminus.nus.edu.sg/modules/1f92e84b-e541-4eca-9a15-18dd7555d930","LumiNUS course site")</f>
      </c>
      <c r="F2368" s="0" t="s">
        <v>10</v>
      </c>
      <c r="G2368" s="0" t="s">
        <v>4242</v>
      </c>
      <c r="H2368" s="3">
        <v>17</v>
      </c>
    </row>
    <row r="2369">
      <c r="A2369" s="0" t="s">
        <v>4268</v>
      </c>
      <c r="B2369" s="0" t="s">
        <v>4269</v>
      </c>
      <c r="C2369" s="5">
        <f>=HYPERLINK("https://nusmods.com/modules/MLE4203#timetable","Timetable")</f>
      </c>
      <c r="D2369" s="5"/>
      <c r="E2369" s="5">
        <f>=HYPERLINK("https://luminus.nus.edu.sg/modules/8beb09c5-3d37-47f6-8374-a1cc67a96243","LumiNUS course site")</f>
      </c>
      <c r="F2369" s="0" t="s">
        <v>10</v>
      </c>
      <c r="G2369" s="0" t="s">
        <v>4242</v>
      </c>
      <c r="H2369" s="3">
        <v>8</v>
      </c>
    </row>
    <row r="2370">
      <c r="A2370" s="0" t="s">
        <v>4270</v>
      </c>
      <c r="B2370" s="0" t="s">
        <v>4271</v>
      </c>
      <c r="C2370" s="5">
        <f>=HYPERLINK("https://nusmods.com/modules/MLE4212#timetable","Timetable")</f>
      </c>
      <c r="D2370" s="5"/>
      <c r="E2370" s="5">
        <f>=HYPERLINK("https://luminus.nus.edu.sg/modules/f2dc6913-1511-4628-aabd-3679aa72eab2","LumiNUS course site")</f>
      </c>
      <c r="F2370" s="0" t="s">
        <v>10</v>
      </c>
      <c r="G2370" s="0" t="s">
        <v>4242</v>
      </c>
      <c r="H2370" s="3">
        <v>12</v>
      </c>
    </row>
    <row r="2371">
      <c r="A2371" s="0" t="s">
        <v>4272</v>
      </c>
      <c r="B2371" s="0" t="s">
        <v>4273</v>
      </c>
      <c r="C2371" s="5">
        <f>=HYPERLINK("https://nusmods.com/modules/MLE4213#timetable","Timetable")</f>
      </c>
      <c r="D2371" s="5"/>
      <c r="E2371" s="5">
        <f>=HYPERLINK("https://luminus.nus.edu.sg/modules/49a0a8f1-5b02-4356-89f2-e3319cc178ec","LumiNUS course site")</f>
      </c>
      <c r="F2371" s="0" t="s">
        <v>10</v>
      </c>
      <c r="G2371" s="0" t="s">
        <v>4242</v>
      </c>
      <c r="H2371" s="3">
        <v>68</v>
      </c>
    </row>
    <row r="2372">
      <c r="A2372" s="0" t="s">
        <v>4274</v>
      </c>
      <c r="B2372" s="0" t="s">
        <v>4275</v>
      </c>
      <c r="C2372" s="5">
        <f>=HYPERLINK("https://nusmods.com/modules/MLE4219#timetable","Timetable")</f>
      </c>
      <c r="D2372" s="5">
        <f>=HYPERLINK("https://canvas.nus.edu.sg/courses/25215","Canvas course site")</f>
      </c>
      <c r="E2372" s="5"/>
      <c r="F2372" s="0" t="s">
        <v>10</v>
      </c>
      <c r="G2372" s="0" t="s">
        <v>4242</v>
      </c>
      <c r="H2372" s="3">
        <v>11</v>
      </c>
    </row>
    <row r="2373">
      <c r="A2373" s="0" t="s">
        <v>4276</v>
      </c>
      <c r="B2373" s="0" t="s">
        <v>4277</v>
      </c>
      <c r="C2373" s="5">
        <f>=HYPERLINK("https://nusmods.com/modules/MLE4221#timetable","Timetable")</f>
      </c>
      <c r="D2373" s="5">
        <f>=HYPERLINK("https://canvas.nus.edu.sg/courses/25259","Canvas course site")</f>
      </c>
      <c r="E2373" s="5"/>
      <c r="F2373" s="0" t="s">
        <v>10</v>
      </c>
      <c r="G2373" s="0" t="s">
        <v>4242</v>
      </c>
      <c r="H2373" s="3">
        <v>7</v>
      </c>
    </row>
    <row r="2374">
      <c r="A2374" s="0" t="s">
        <v>4278</v>
      </c>
      <c r="B2374" s="0" t="s">
        <v>4279</v>
      </c>
      <c r="C2374" s="5">
        <f>=HYPERLINK("https://nusmods.com/modules/MLE5001#timetable","Timetable")</f>
      </c>
      <c r="D2374" s="5"/>
      <c r="E2374" s="5">
        <f>=HYPERLINK("https://luminus.nus.edu.sg/modules/8f17d696-f058-444b-8e80-64aba02dc9e6","LumiNUS course site")</f>
      </c>
      <c r="F2374" s="0" t="s">
        <v>10</v>
      </c>
      <c r="G2374" s="0" t="s">
        <v>4242</v>
      </c>
      <c r="H2374" s="3">
        <v>179</v>
      </c>
    </row>
    <row r="2375">
      <c r="A2375" s="0" t="s">
        <v>4280</v>
      </c>
      <c r="B2375" s="0" t="s">
        <v>4281</v>
      </c>
      <c r="C2375" s="5">
        <f>=HYPERLINK("https://nusmods.com/modules/MLE5003#timetable","Timetable")</f>
      </c>
      <c r="D2375" s="5"/>
      <c r="E2375" s="5"/>
      <c r="F2375" s="0" t="s">
        <v>10</v>
      </c>
      <c r="G2375" s="0" t="s">
        <v>4242</v>
      </c>
      <c r="H2375" s="3">
        <v>109</v>
      </c>
    </row>
    <row r="2376">
      <c r="A2376" s="0" t="s">
        <v>4282</v>
      </c>
      <c r="B2376" s="0" t="s">
        <v>4283</v>
      </c>
      <c r="C2376" s="5">
        <f>=HYPERLINK("https://nusmods.com/modules/MLE5004#timetable","Timetable")</f>
      </c>
      <c r="D2376" s="5"/>
      <c r="E2376" s="5"/>
      <c r="F2376" s="0" t="s">
        <v>10</v>
      </c>
      <c r="G2376" s="0" t="s">
        <v>4242</v>
      </c>
      <c r="H2376" s="3">
        <v>8</v>
      </c>
    </row>
    <row r="2377">
      <c r="A2377" s="0" t="s">
        <v>4284</v>
      </c>
      <c r="B2377" s="0" t="s">
        <v>4285</v>
      </c>
      <c r="C2377" s="5">
        <f>=HYPERLINK("https://nusmods.com/modules/MLE5101#timetable","Timetable")</f>
      </c>
      <c r="D2377" s="5">
        <f>=HYPERLINK("https://canvas.nus.edu.sg/courses/25239","Canvas course site")</f>
      </c>
      <c r="E2377" s="5"/>
      <c r="F2377" s="0" t="s">
        <v>10</v>
      </c>
      <c r="G2377" s="0" t="s">
        <v>4242</v>
      </c>
      <c r="H2377" s="3">
        <v>175</v>
      </c>
    </row>
    <row r="2378">
      <c r="A2378" s="0" t="s">
        <v>4286</v>
      </c>
      <c r="B2378" s="0" t="s">
        <v>4287</v>
      </c>
      <c r="C2378" s="5">
        <f>=HYPERLINK("https://nusmods.com/modules/MLE5104#timetable","Timetable")</f>
      </c>
      <c r="D2378" s="5"/>
      <c r="E2378" s="5">
        <f>=HYPERLINK("https://luminus.nus.edu.sg/modules/41e1719b-fa05-49f2-8884-c7e2f703643f","LumiNUS course site")</f>
      </c>
      <c r="F2378" s="0" t="s">
        <v>10</v>
      </c>
      <c r="G2378" s="0" t="s">
        <v>4242</v>
      </c>
      <c r="H2378" s="3">
        <v>168</v>
      </c>
    </row>
    <row r="2379">
      <c r="A2379" s="0" t="s">
        <v>4288</v>
      </c>
      <c r="B2379" s="0" t="s">
        <v>4289</v>
      </c>
      <c r="C2379" s="5">
        <f>=HYPERLINK("https://nusmods.com/modules/MLE5212#timetable","Timetable")</f>
      </c>
      <c r="D2379" s="5">
        <f>=HYPERLINK("https://canvas.nus.edu.sg/courses/25249","Canvas course site")</f>
      </c>
      <c r="E2379" s="5"/>
      <c r="F2379" s="0" t="s">
        <v>10</v>
      </c>
      <c r="G2379" s="0" t="s">
        <v>4242</v>
      </c>
      <c r="H2379" s="3">
        <v>16</v>
      </c>
    </row>
    <row r="2380">
      <c r="A2380" s="0" t="s">
        <v>4290</v>
      </c>
      <c r="B2380" s="0" t="s">
        <v>4291</v>
      </c>
      <c r="C2380" s="5">
        <f>=HYPERLINK("https://nusmods.com/modules/MLE5216#timetable","Timetable")</f>
      </c>
      <c r="D2380" s="5"/>
      <c r="E2380" s="5">
        <f>=HYPERLINK("https://luminus.nus.edu.sg/modules/d503fe4a-553b-4ba1-9873-50331be4b5bb","LumiNUS course site")</f>
      </c>
      <c r="F2380" s="0" t="s">
        <v>10</v>
      </c>
      <c r="G2380" s="0" t="s">
        <v>4242</v>
      </c>
      <c r="H2380" s="3">
        <v>150</v>
      </c>
    </row>
    <row r="2381">
      <c r="A2381" s="0" t="s">
        <v>4292</v>
      </c>
      <c r="B2381" s="0" t="s">
        <v>4293</v>
      </c>
      <c r="C2381" s="5">
        <f>=HYPERLINK("https://nusmods.com/modules/MLE5221#timetable","Timetable")</f>
      </c>
      <c r="D2381" s="5">
        <f>=HYPERLINK("https://canvas.nus.edu.sg/courses/25259","Canvas course site")</f>
      </c>
      <c r="E2381" s="5"/>
      <c r="F2381" s="0" t="s">
        <v>10</v>
      </c>
      <c r="G2381" s="0" t="s">
        <v>4242</v>
      </c>
      <c r="H2381" s="3">
        <v>152</v>
      </c>
    </row>
    <row r="2382">
      <c r="A2382" s="0" t="s">
        <v>4294</v>
      </c>
      <c r="B2382" s="0" t="s">
        <v>4295</v>
      </c>
      <c r="C2382" s="5">
        <f>=HYPERLINK("https://nusmods.com/modules/MLE5666#timetable","Timetable")</f>
      </c>
      <c r="D2382" s="5"/>
      <c r="E2382" s="5"/>
      <c r="F2382" s="0" t="s">
        <v>10</v>
      </c>
      <c r="G2382" s="0" t="s">
        <v>4242</v>
      </c>
      <c r="H2382" s="3">
        <v>0</v>
      </c>
    </row>
    <row r="2383">
      <c r="A2383" s="0" t="s">
        <v>4296</v>
      </c>
      <c r="B2383" s="0" t="s">
        <v>649</v>
      </c>
      <c r="C2383" s="5">
        <f>=HYPERLINK("https://nusmods.com/modules/MLE5999#timetable","Timetable")</f>
      </c>
      <c r="D2383" s="5"/>
      <c r="E2383" s="5"/>
      <c r="F2383" s="0" t="s">
        <v>10</v>
      </c>
      <c r="G2383" s="0" t="s">
        <v>4242</v>
      </c>
      <c r="H2383" s="3">
        <v>30</v>
      </c>
    </row>
    <row r="2384">
      <c r="A2384" s="0" t="s">
        <v>4297</v>
      </c>
      <c r="B2384" s="0" t="s">
        <v>4298</v>
      </c>
      <c r="C2384" s="5">
        <f>=HYPERLINK("https://nusmods.com/modules/MLE6101#timetable","Timetable")</f>
      </c>
      <c r="D2384" s="5"/>
      <c r="E2384" s="5">
        <f>=HYPERLINK("https://luminus.nus.edu.sg/modules/f8bd34c3-d1a9-4da6-a8a3-594d3992dfde","LumiNUS course site")</f>
      </c>
      <c r="F2384" s="0" t="s">
        <v>10</v>
      </c>
      <c r="G2384" s="0" t="s">
        <v>4242</v>
      </c>
      <c r="H2384" s="3">
        <v>66</v>
      </c>
    </row>
    <row r="2385">
      <c r="A2385" s="0" t="s">
        <v>4299</v>
      </c>
      <c r="B2385" s="0" t="s">
        <v>4300</v>
      </c>
      <c r="C2385" s="5">
        <f>=HYPERLINK("https://nusmods.com/modules/MLE6103#timetable","Timetable")</f>
      </c>
      <c r="D2385" s="5"/>
      <c r="E2385" s="5">
        <f>=HYPERLINK("https://luminus.nus.edu.sg/modules/b1e66886-6cea-41f9-a3fa-4ea6daeed202","LumiNUS course site")</f>
      </c>
      <c r="F2385" s="0" t="s">
        <v>10</v>
      </c>
      <c r="G2385" s="0" t="s">
        <v>4242</v>
      </c>
      <c r="H2385" s="3">
        <v>100</v>
      </c>
    </row>
    <row r="2386">
      <c r="A2386" s="0" t="s">
        <v>4301</v>
      </c>
      <c r="B2386" s="0" t="s">
        <v>651</v>
      </c>
      <c r="C2386" s="5">
        <f>=HYPERLINK("https://nusmods.com/modules/MLE6999#timetable","Timetable")</f>
      </c>
      <c r="D2386" s="5"/>
      <c r="E2386" s="5"/>
      <c r="F2386" s="0" t="s">
        <v>10</v>
      </c>
      <c r="G2386" s="0" t="s">
        <v>4242</v>
      </c>
      <c r="H2386" s="3">
        <v>101</v>
      </c>
    </row>
    <row r="2387">
      <c r="A2387" s="0" t="s">
        <v>4302</v>
      </c>
      <c r="B2387" s="0" t="s">
        <v>4303</v>
      </c>
      <c r="C2387" s="5">
        <f>=HYPERLINK("https://nusmods.com/modules/MNO1706A#timetable","Timetable")</f>
      </c>
      <c r="D2387" s="5">
        <f>=HYPERLINK("https://canvas.nus.edu.sg/courses/25292","Canvas course site")</f>
      </c>
      <c r="E2387" s="5"/>
      <c r="F2387" s="0" t="s">
        <v>28</v>
      </c>
      <c r="G2387" s="0" t="s">
        <v>534</v>
      </c>
      <c r="H2387" s="3">
        <v>98</v>
      </c>
    </row>
    <row r="2388">
      <c r="A2388" s="0" t="s">
        <v>4304</v>
      </c>
      <c r="B2388" s="0" t="s">
        <v>4303</v>
      </c>
      <c r="C2388" s="5">
        <f>=HYPERLINK("https://nusmods.com/modules/MNO1706B#timetable","Timetable")</f>
      </c>
      <c r="D2388" s="5">
        <f>=HYPERLINK("https://canvas.nus.edu.sg/courses/25297","Canvas course site")</f>
      </c>
      <c r="E2388" s="5"/>
      <c r="F2388" s="0" t="s">
        <v>28</v>
      </c>
      <c r="G2388" s="0" t="s">
        <v>534</v>
      </c>
      <c r="H2388" s="3">
        <v>41</v>
      </c>
    </row>
    <row r="2389">
      <c r="A2389" s="0" t="s">
        <v>4305</v>
      </c>
      <c r="B2389" s="0" t="s">
        <v>4303</v>
      </c>
      <c r="C2389" s="5">
        <f>=HYPERLINK("https://nusmods.com/modules/MNO1706D#timetable","Timetable")</f>
      </c>
      <c r="D2389" s="5"/>
      <c r="E2389" s="5">
        <f>=HYPERLINK("https://luminus.nus.edu.sg/modules/1967fa0c-c2c2-4f4f-8771-57cf82f1a4d9","LumiNUS course site")</f>
      </c>
      <c r="F2389" s="0" t="s">
        <v>28</v>
      </c>
      <c r="G2389" s="0" t="s">
        <v>534</v>
      </c>
      <c r="H2389" s="3">
        <v>161</v>
      </c>
    </row>
    <row r="2390">
      <c r="A2390" s="0" t="s">
        <v>4306</v>
      </c>
      <c r="B2390" s="0" t="s">
        <v>4303</v>
      </c>
      <c r="C2390" s="5">
        <f>=HYPERLINK("https://nusmods.com/modules/MNO1706E#timetable","Timetable")</f>
      </c>
      <c r="D2390" s="5">
        <f>=HYPERLINK("https://canvas.nus.edu.sg/courses/25313","Canvas course site")</f>
      </c>
      <c r="E2390" s="5"/>
      <c r="F2390" s="0" t="s">
        <v>28</v>
      </c>
      <c r="G2390" s="0" t="s">
        <v>534</v>
      </c>
      <c r="H2390" s="3">
        <v>43</v>
      </c>
    </row>
    <row r="2391">
      <c r="A2391" s="0" t="s">
        <v>4307</v>
      </c>
      <c r="B2391" s="0" t="s">
        <v>4303</v>
      </c>
      <c r="C2391" s="5">
        <f>=HYPERLINK("https://nusmods.com/modules/MNO1706F#timetable","Timetable")</f>
      </c>
      <c r="D2391" s="5">
        <f>=HYPERLINK("https://canvas.nus.edu.sg/courses/26332","Canvas course site")</f>
      </c>
      <c r="E2391" s="5"/>
      <c r="F2391" s="0" t="s">
        <v>28</v>
      </c>
      <c r="G2391" s="0" t="s">
        <v>534</v>
      </c>
      <c r="H2391" s="3">
        <v>72</v>
      </c>
    </row>
    <row r="2392">
      <c r="A2392" s="0" t="s">
        <v>4308</v>
      </c>
      <c r="B2392" s="0" t="s">
        <v>4303</v>
      </c>
      <c r="C2392" s="5">
        <f>=HYPERLINK("https://nusmods.com/modules/MNO1706G#timetable","Timetable")</f>
      </c>
      <c r="D2392" s="5">
        <f>=HYPERLINK("https://canvas.nus.edu.sg/courses/26333","Canvas course site")</f>
      </c>
      <c r="E2392" s="5"/>
      <c r="F2392" s="0" t="s">
        <v>28</v>
      </c>
      <c r="G2392" s="0" t="s">
        <v>534</v>
      </c>
      <c r="H2392" s="3">
        <v>94</v>
      </c>
    </row>
    <row r="2393">
      <c r="A2393" s="0" t="s">
        <v>4309</v>
      </c>
      <c r="B2393" s="0" t="s">
        <v>4303</v>
      </c>
      <c r="C2393" s="5">
        <f>=HYPERLINK("https://nusmods.com/modules/MNO1706H#timetable","Timetable")</f>
      </c>
      <c r="D2393" s="5">
        <f>=HYPERLINK("https://canvas.nus.edu.sg/courses/26877","Canvas course site")</f>
      </c>
      <c r="E2393" s="5"/>
      <c r="F2393" s="0" t="s">
        <v>28</v>
      </c>
      <c r="G2393" s="0" t="s">
        <v>534</v>
      </c>
      <c r="H2393" s="3">
        <v>44</v>
      </c>
    </row>
    <row r="2394">
      <c r="A2394" s="0" t="s">
        <v>4310</v>
      </c>
      <c r="B2394" s="0" t="s">
        <v>4303</v>
      </c>
      <c r="C2394" s="5">
        <f>=HYPERLINK("https://nusmods.com/modules/MNO1706X#timetable","Timetable")</f>
      </c>
      <c r="D2394" s="5">
        <f>=HYPERLINK("https://canvas.nus.edu.sg/courses/25318","Canvas course site")</f>
      </c>
      <c r="E2394" s="5"/>
      <c r="F2394" s="0" t="s">
        <v>28</v>
      </c>
      <c r="G2394" s="0" t="s">
        <v>534</v>
      </c>
      <c r="H2394" s="3">
        <v>106</v>
      </c>
    </row>
    <row r="2395">
      <c r="A2395" s="0" t="s">
        <v>4311</v>
      </c>
      <c r="B2395" s="0" t="s">
        <v>4312</v>
      </c>
      <c r="C2395" s="5">
        <f>=HYPERLINK("https://nusmods.com/modules/MNO2705A#timetable","Timetable")</f>
      </c>
      <c r="D2395" s="5">
        <f>=HYPERLINK("https://canvas.nus.edu.sg/courses/25323","Canvas course site")</f>
      </c>
      <c r="E2395" s="5"/>
      <c r="F2395" s="0" t="s">
        <v>28</v>
      </c>
      <c r="G2395" s="0" t="s">
        <v>534</v>
      </c>
      <c r="H2395" s="3">
        <v>94</v>
      </c>
    </row>
    <row r="2396">
      <c r="A2396" s="0" t="s">
        <v>4313</v>
      </c>
      <c r="B2396" s="0" t="s">
        <v>4312</v>
      </c>
      <c r="C2396" s="5">
        <f>=HYPERLINK("https://nusmods.com/modules/MNO2705B#timetable","Timetable")</f>
      </c>
      <c r="D2396" s="5"/>
      <c r="E2396" s="5">
        <f>=HYPERLINK("https://luminus.nus.edu.sg/modules/188c2060-3199-4774-867c-054af84a8e41","LumiNUS course site")</f>
      </c>
      <c r="F2396" s="0" t="s">
        <v>28</v>
      </c>
      <c r="G2396" s="0" t="s">
        <v>534</v>
      </c>
      <c r="H2396" s="3">
        <v>89</v>
      </c>
    </row>
    <row r="2397">
      <c r="A2397" s="0" t="s">
        <v>4314</v>
      </c>
      <c r="B2397" s="0" t="s">
        <v>4312</v>
      </c>
      <c r="C2397" s="5">
        <f>=HYPERLINK("https://nusmods.com/modules/MNO2705C#timetable","Timetable")</f>
      </c>
      <c r="D2397" s="5">
        <f>=HYPERLINK("https://canvas.nus.edu.sg/courses/25334","Canvas course site")</f>
      </c>
      <c r="E2397" s="5"/>
      <c r="F2397" s="0" t="s">
        <v>28</v>
      </c>
      <c r="G2397" s="0" t="s">
        <v>534</v>
      </c>
      <c r="H2397" s="3">
        <v>97</v>
      </c>
    </row>
    <row r="2398">
      <c r="A2398" s="0" t="s">
        <v>4315</v>
      </c>
      <c r="B2398" s="0" t="s">
        <v>4312</v>
      </c>
      <c r="C2398" s="5">
        <f>=HYPERLINK("https://nusmods.com/modules/MNO2705D#timetable","Timetable")</f>
      </c>
      <c r="D2398" s="5">
        <f>=HYPERLINK("https://canvas.nus.edu.sg/courses/25338","Canvas course site")</f>
      </c>
      <c r="E2398" s="5"/>
      <c r="F2398" s="0" t="s">
        <v>28</v>
      </c>
      <c r="G2398" s="0" t="s">
        <v>534</v>
      </c>
      <c r="H2398" s="3">
        <v>145</v>
      </c>
    </row>
    <row r="2399">
      <c r="A2399" s="0" t="s">
        <v>4316</v>
      </c>
      <c r="B2399" s="0" t="s">
        <v>4312</v>
      </c>
      <c r="C2399" s="5">
        <f>=HYPERLINK("https://nusmods.com/modules/MNO2705E#timetable","Timetable")</f>
      </c>
      <c r="D2399" s="5">
        <f>=HYPERLINK("https://canvas.nus.edu.sg/courses/25343","Canvas course site")</f>
      </c>
      <c r="E2399" s="5"/>
      <c r="F2399" s="0" t="s">
        <v>28</v>
      </c>
      <c r="G2399" s="0" t="s">
        <v>534</v>
      </c>
      <c r="H2399" s="3">
        <v>50</v>
      </c>
    </row>
    <row r="2400">
      <c r="A2400" s="0" t="s">
        <v>4317</v>
      </c>
      <c r="B2400" s="0" t="s">
        <v>4312</v>
      </c>
      <c r="C2400" s="5">
        <f>=HYPERLINK("https://nusmods.com/modules/MNO2705F#timetable","Timetable")</f>
      </c>
      <c r="D2400" s="5">
        <f>=HYPERLINK("https://canvas.nus.edu.sg/courses/26334","Canvas course site")</f>
      </c>
      <c r="E2400" s="5"/>
      <c r="F2400" s="0" t="s">
        <v>28</v>
      </c>
      <c r="G2400" s="0" t="s">
        <v>534</v>
      </c>
      <c r="H2400" s="3">
        <v>90</v>
      </c>
    </row>
    <row r="2401">
      <c r="A2401" s="0" t="s">
        <v>4318</v>
      </c>
      <c r="B2401" s="0" t="s">
        <v>4319</v>
      </c>
      <c r="C2401" s="5">
        <f>=HYPERLINK("https://nusmods.com/modules/MNO2706#timetable","Timetable")</f>
      </c>
      <c r="D2401" s="5"/>
      <c r="E2401" s="5">
        <f>=HYPERLINK("https://luminus.nus.edu.sg/modules/404629f7-27ae-450e-895e-25069ca21477","LumiNUS course site")</f>
      </c>
      <c r="F2401" s="0" t="s">
        <v>28</v>
      </c>
      <c r="G2401" s="0" t="s">
        <v>534</v>
      </c>
      <c r="H2401" s="3">
        <v>107</v>
      </c>
    </row>
    <row r="2402">
      <c r="A2402" s="0" t="s">
        <v>4320</v>
      </c>
      <c r="B2402" s="0" t="s">
        <v>4321</v>
      </c>
      <c r="C2402" s="5">
        <f>=HYPERLINK("https://nusmods.com/modules/MNO3329#timetable","Timetable")</f>
      </c>
      <c r="D2402" s="5"/>
      <c r="E2402" s="5"/>
      <c r="F2402" s="0" t="s">
        <v>28</v>
      </c>
      <c r="G2402" s="0" t="s">
        <v>534</v>
      </c>
      <c r="H2402" s="3">
        <v>0</v>
      </c>
    </row>
    <row r="2403">
      <c r="A2403" s="0" t="s">
        <v>4322</v>
      </c>
      <c r="B2403" s="0" t="s">
        <v>4321</v>
      </c>
      <c r="C2403" s="5">
        <f>=HYPERLINK("https://nusmods.com/modules/MNO3339#timetable","Timetable")</f>
      </c>
      <c r="D2403" s="5"/>
      <c r="E2403" s="5"/>
      <c r="F2403" s="0" t="s">
        <v>28</v>
      </c>
      <c r="G2403" s="0" t="s">
        <v>534</v>
      </c>
      <c r="H2403" s="3">
        <v>0</v>
      </c>
    </row>
    <row r="2404">
      <c r="A2404" s="0" t="s">
        <v>4323</v>
      </c>
      <c r="B2404" s="0" t="s">
        <v>4324</v>
      </c>
      <c r="C2404" s="5">
        <f>=HYPERLINK("https://nusmods.com/modules/MNO3701#timetable","Timetable")</f>
      </c>
      <c r="D2404" s="5">
        <f>=HYPERLINK("https://canvas.nus.edu.sg/courses/25395","Canvas course site")</f>
      </c>
      <c r="E2404" s="5"/>
      <c r="F2404" s="0" t="s">
        <v>28</v>
      </c>
      <c r="G2404" s="0" t="s">
        <v>534</v>
      </c>
      <c r="H2404" s="3">
        <v>79</v>
      </c>
    </row>
    <row r="2405">
      <c r="A2405" s="0" t="s">
        <v>4325</v>
      </c>
      <c r="B2405" s="0" t="s">
        <v>566</v>
      </c>
      <c r="C2405" s="5">
        <f>=HYPERLINK("https://nusmods.com/modules/MNO3702#timetable","Timetable")</f>
      </c>
      <c r="D2405" s="5"/>
      <c r="E2405" s="5">
        <f>=HYPERLINK("https://luminus.nus.edu.sg/modules/27f27eac-c7a9-4f84-8b40-6174ddf079bc","LumiNUS course site")</f>
      </c>
      <c r="F2405" s="0" t="s">
        <v>28</v>
      </c>
      <c r="G2405" s="0" t="s">
        <v>534</v>
      </c>
      <c r="H2405" s="3">
        <v>102</v>
      </c>
    </row>
    <row r="2406">
      <c r="A2406" s="0" t="s">
        <v>4326</v>
      </c>
      <c r="B2406" s="0" t="s">
        <v>4327</v>
      </c>
      <c r="C2406" s="5">
        <f>=HYPERLINK("https://nusmods.com/modules/MNO3703#timetable","Timetable")</f>
      </c>
      <c r="D2406" s="5">
        <f>=HYPERLINK("https://canvas.nus.edu.sg/courses/25406","Canvas course site")</f>
      </c>
      <c r="E2406" s="5"/>
      <c r="F2406" s="0" t="s">
        <v>28</v>
      </c>
      <c r="G2406" s="0" t="s">
        <v>534</v>
      </c>
      <c r="H2406" s="3">
        <v>98</v>
      </c>
    </row>
    <row r="2407">
      <c r="A2407" s="0" t="s">
        <v>4328</v>
      </c>
      <c r="B2407" s="0" t="s">
        <v>4329</v>
      </c>
      <c r="C2407" s="5">
        <f>=HYPERLINK("https://nusmods.com/modules/MNO3713#timetable","Timetable")</f>
      </c>
      <c r="D2407" s="5">
        <f>=HYPERLINK("https://canvas.nus.edu.sg/courses/25410","Canvas course site")</f>
      </c>
      <c r="E2407" s="5"/>
      <c r="F2407" s="0" t="s">
        <v>28</v>
      </c>
      <c r="G2407" s="0" t="s">
        <v>534</v>
      </c>
      <c r="H2407" s="3">
        <v>24</v>
      </c>
    </row>
    <row r="2408">
      <c r="A2408" s="0" t="s">
        <v>4330</v>
      </c>
      <c r="B2408" s="0" t="s">
        <v>4331</v>
      </c>
      <c r="C2408" s="5">
        <f>=HYPERLINK("https://nusmods.com/modules/MNO3716#timetable","Timetable")</f>
      </c>
      <c r="D2408" s="5">
        <f>=HYPERLINK("https://canvas.nus.edu.sg/courses/25421","Canvas course site")</f>
      </c>
      <c r="E2408" s="5"/>
      <c r="F2408" s="0" t="s">
        <v>28</v>
      </c>
      <c r="G2408" s="0" t="s">
        <v>534</v>
      </c>
      <c r="H2408" s="3">
        <v>19</v>
      </c>
    </row>
    <row r="2409">
      <c r="A2409" s="0" t="s">
        <v>4332</v>
      </c>
      <c r="B2409" s="0" t="s">
        <v>4321</v>
      </c>
      <c r="C2409" s="5">
        <f>=HYPERLINK("https://nusmods.com/modules/MNO3751#timetable","Timetable")</f>
      </c>
      <c r="D2409" s="5"/>
      <c r="E2409" s="5"/>
      <c r="F2409" s="0" t="s">
        <v>28</v>
      </c>
      <c r="G2409" s="0" t="s">
        <v>534</v>
      </c>
      <c r="H2409" s="3">
        <v>0</v>
      </c>
    </row>
    <row r="2410">
      <c r="A2410" s="0" t="s">
        <v>4333</v>
      </c>
      <c r="B2410" s="0" t="s">
        <v>4334</v>
      </c>
      <c r="C2410" s="5">
        <f>=HYPERLINK("https://nusmods.com/modules/MNO3752#timetable","Timetable")</f>
      </c>
      <c r="D2410" s="5"/>
      <c r="E2410" s="5"/>
      <c r="F2410" s="0" t="s">
        <v>28</v>
      </c>
      <c r="G2410" s="0" t="s">
        <v>534</v>
      </c>
      <c r="H2410" s="3">
        <v>0</v>
      </c>
    </row>
    <row r="2411">
      <c r="A2411" s="0" t="s">
        <v>4335</v>
      </c>
      <c r="B2411" s="0" t="s">
        <v>4336</v>
      </c>
      <c r="C2411" s="5">
        <f>=HYPERLINK("https://nusmods.com/modules/MNO3761C#timetable","Timetable")</f>
      </c>
      <c r="D2411" s="5"/>
      <c r="E2411" s="5">
        <f>=HYPERLINK("https://luminus.nus.edu.sg/modules/866febed-7741-4b36-8f4f-e74cf8be05f7","LumiNUS course site")</f>
      </c>
      <c r="F2411" s="0" t="s">
        <v>28</v>
      </c>
      <c r="G2411" s="0" t="s">
        <v>534</v>
      </c>
      <c r="H2411" s="3">
        <v>35</v>
      </c>
    </row>
    <row r="2412">
      <c r="A2412" s="0" t="s">
        <v>4337</v>
      </c>
      <c r="B2412" s="0" t="s">
        <v>4338</v>
      </c>
      <c r="C2412" s="5">
        <f>=HYPERLINK("https://nusmods.com/modules/MNO3811#timetable","Timetable")</f>
      </c>
      <c r="D2412" s="5"/>
      <c r="E2412" s="5">
        <f>=HYPERLINK("https://luminus.nus.edu.sg/modules/beaf034d-a323-4809-962d-772e54eec8ad","LumiNUS course site")</f>
      </c>
      <c r="F2412" s="0" t="s">
        <v>28</v>
      </c>
      <c r="G2412" s="0" t="s">
        <v>534</v>
      </c>
      <c r="H2412" s="3">
        <v>37</v>
      </c>
    </row>
    <row r="2413">
      <c r="A2413" s="0" t="s">
        <v>4339</v>
      </c>
      <c r="B2413" s="0" t="s">
        <v>4340</v>
      </c>
      <c r="C2413" s="5">
        <f>=HYPERLINK("https://nusmods.com/modules/MNO4319#timetable","Timetable")</f>
      </c>
      <c r="D2413" s="5"/>
      <c r="E2413" s="5"/>
      <c r="F2413" s="0" t="s">
        <v>28</v>
      </c>
      <c r="G2413" s="0" t="s">
        <v>534</v>
      </c>
      <c r="H2413" s="3">
        <v>0</v>
      </c>
    </row>
    <row r="2414">
      <c r="A2414" s="0" t="s">
        <v>4341</v>
      </c>
      <c r="B2414" s="0" t="s">
        <v>4340</v>
      </c>
      <c r="C2414" s="5">
        <f>=HYPERLINK("https://nusmods.com/modules/MNO4329#timetable","Timetable")</f>
      </c>
      <c r="D2414" s="5"/>
      <c r="E2414" s="5"/>
      <c r="F2414" s="0" t="s">
        <v>28</v>
      </c>
      <c r="G2414" s="0" t="s">
        <v>534</v>
      </c>
      <c r="H2414" s="3">
        <v>0</v>
      </c>
    </row>
    <row r="2415">
      <c r="A2415" s="0" t="s">
        <v>4342</v>
      </c>
      <c r="B2415" s="0" t="s">
        <v>4343</v>
      </c>
      <c r="C2415" s="5">
        <f>=HYPERLINK("https://nusmods.com/modules/MNO4711#timetable","Timetable")</f>
      </c>
      <c r="D2415" s="5">
        <f>=HYPERLINK("https://canvas.nus.edu.sg/courses/25463","Canvas course site")</f>
      </c>
      <c r="E2415" s="5"/>
      <c r="F2415" s="0" t="s">
        <v>28</v>
      </c>
      <c r="G2415" s="0" t="s">
        <v>534</v>
      </c>
      <c r="H2415" s="3">
        <v>48</v>
      </c>
    </row>
    <row r="2416">
      <c r="A2416" s="0" t="s">
        <v>4344</v>
      </c>
      <c r="B2416" s="0" t="s">
        <v>4345</v>
      </c>
      <c r="C2416" s="5">
        <f>=HYPERLINK("https://nusmods.com/modules/MNO4716#timetable","Timetable")</f>
      </c>
      <c r="D2416" s="5">
        <f>=HYPERLINK("https://canvas.nus.edu.sg/courses/27082","Canvas course site")</f>
      </c>
      <c r="E2416" s="5"/>
      <c r="F2416" s="0" t="s">
        <v>28</v>
      </c>
      <c r="G2416" s="0" t="s">
        <v>534</v>
      </c>
      <c r="H2416" s="3">
        <v>6</v>
      </c>
    </row>
    <row r="2417">
      <c r="A2417" s="0" t="s">
        <v>4346</v>
      </c>
      <c r="B2417" s="0" t="s">
        <v>4340</v>
      </c>
      <c r="C2417" s="5">
        <f>=HYPERLINK("https://nusmods.com/modules/MNO4751#timetable","Timetable")</f>
      </c>
      <c r="D2417" s="5"/>
      <c r="E2417" s="5"/>
      <c r="F2417" s="0" t="s">
        <v>28</v>
      </c>
      <c r="G2417" s="0" t="s">
        <v>534</v>
      </c>
      <c r="H2417" s="3">
        <v>1</v>
      </c>
    </row>
    <row r="2418">
      <c r="A2418" s="0" t="s">
        <v>4347</v>
      </c>
      <c r="B2418" s="0" t="s">
        <v>4348</v>
      </c>
      <c r="C2418" s="5">
        <f>=HYPERLINK("https://nusmods.com/modules/MNO4752#timetable","Timetable")</f>
      </c>
      <c r="D2418" s="5"/>
      <c r="E2418" s="5"/>
      <c r="F2418" s="0" t="s">
        <v>28</v>
      </c>
      <c r="G2418" s="0" t="s">
        <v>534</v>
      </c>
      <c r="H2418" s="3">
        <v>1</v>
      </c>
    </row>
    <row r="2419">
      <c r="A2419" s="0" t="s">
        <v>4349</v>
      </c>
      <c r="B2419" s="0" t="s">
        <v>4350</v>
      </c>
      <c r="C2419" s="5">
        <f>=HYPERLINK("https://nusmods.com/modules/MNO4761D#timetable","Timetable")</f>
      </c>
      <c r="D2419" s="5"/>
      <c r="E2419" s="5">
        <f>=HYPERLINK("https://luminus.nus.edu.sg/modules/5a51fd9d-0f92-4331-9db9-5361f5a4af81","LumiNUS course site")</f>
      </c>
      <c r="F2419" s="0" t="s">
        <v>28</v>
      </c>
      <c r="G2419" s="0" t="s">
        <v>534</v>
      </c>
      <c r="H2419" s="3">
        <v>23</v>
      </c>
    </row>
    <row r="2420">
      <c r="A2420" s="0" t="s">
        <v>4351</v>
      </c>
      <c r="B2420" s="0" t="s">
        <v>4352</v>
      </c>
      <c r="C2420" s="5">
        <f>=HYPERLINK("https://nusmods.com/modules/MNO4861C#timetable","Timetable")</f>
      </c>
      <c r="D2420" s="5"/>
      <c r="E2420" s="5">
        <f>=HYPERLINK("https://luminus.nus.edu.sg/modules/72f17150-871a-489b-b008-7f9db8821988","LumiNUS course site")</f>
      </c>
      <c r="F2420" s="0" t="s">
        <v>28</v>
      </c>
      <c r="G2420" s="0" t="s">
        <v>534</v>
      </c>
      <c r="H2420" s="3">
        <v>29</v>
      </c>
    </row>
    <row r="2421">
      <c r="A2421" s="0" t="s">
        <v>4353</v>
      </c>
      <c r="B2421" s="0" t="s">
        <v>4354</v>
      </c>
      <c r="C2421" s="5">
        <f>=HYPERLINK("https://nusmods.com/modules/MS1102E#timetable","Timetable")</f>
      </c>
      <c r="D2421" s="5"/>
      <c r="E2421" s="5">
        <f>=HYPERLINK("https://luminus.nus.edu.sg/modules/55936b0a-4068-46f8-b016-0a44d7ba21d2","LumiNUS course site")</f>
      </c>
      <c r="F2421" s="0" t="s">
        <v>73</v>
      </c>
      <c r="G2421" s="0" t="s">
        <v>2534</v>
      </c>
      <c r="H2421" s="3">
        <v>40</v>
      </c>
    </row>
    <row r="2422">
      <c r="A2422" s="0" t="s">
        <v>4355</v>
      </c>
      <c r="B2422" s="0" t="s">
        <v>4356</v>
      </c>
      <c r="C2422" s="5">
        <f>=HYPERLINK("https://nusmods.com/modules/MS2211#timetable","Timetable")</f>
      </c>
      <c r="D2422" s="5"/>
      <c r="E2422" s="5">
        <f>=HYPERLINK("https://luminus.nus.edu.sg/modules/f04b3175-36ca-47fe-b5a4-f19c96bba5c4","LumiNUS course site")</f>
      </c>
      <c r="F2422" s="0" t="s">
        <v>73</v>
      </c>
      <c r="G2422" s="0" t="s">
        <v>2534</v>
      </c>
      <c r="H2422" s="3">
        <v>7</v>
      </c>
    </row>
    <row r="2423">
      <c r="A2423" s="0" t="s">
        <v>4357</v>
      </c>
      <c r="B2423" s="0" t="s">
        <v>4358</v>
      </c>
      <c r="C2423" s="5">
        <f>=HYPERLINK("https://nusmods.com/modules/MS2212#timetable","Timetable")</f>
      </c>
      <c r="D2423" s="5"/>
      <c r="E2423" s="5">
        <f>=HYPERLINK("https://luminus.nus.edu.sg/modules/7ddf63aa-15ea-49b3-99a8-4b01a14ed286","LumiNUS course site")</f>
      </c>
      <c r="F2423" s="0" t="s">
        <v>73</v>
      </c>
      <c r="G2423" s="0" t="s">
        <v>2534</v>
      </c>
      <c r="H2423" s="3">
        <v>15</v>
      </c>
    </row>
    <row r="2424">
      <c r="A2424" s="0" t="s">
        <v>4359</v>
      </c>
      <c r="B2424" s="0" t="s">
        <v>4360</v>
      </c>
      <c r="C2424" s="5">
        <f>=HYPERLINK("https://nusmods.com/modules/MS2213#timetable","Timetable")</f>
      </c>
      <c r="D2424" s="5"/>
      <c r="E2424" s="5">
        <f>=HYPERLINK("https://luminus.nus.edu.sg/modules/027b9e88-4ee0-49c8-948a-ec8deb7d1296","LumiNUS course site")</f>
      </c>
      <c r="F2424" s="0" t="s">
        <v>73</v>
      </c>
      <c r="G2424" s="0" t="s">
        <v>2534</v>
      </c>
      <c r="H2424" s="3">
        <v>22</v>
      </c>
    </row>
    <row r="2425">
      <c r="A2425" s="0" t="s">
        <v>4361</v>
      </c>
      <c r="B2425" s="0" t="s">
        <v>4362</v>
      </c>
      <c r="C2425" s="5">
        <f>=HYPERLINK("https://nusmods.com/modules/MS3210#timetable","Timetable")</f>
      </c>
      <c r="D2425" s="5"/>
      <c r="E2425" s="5">
        <f>=HYPERLINK("https://luminus.nus.edu.sg/modules/9f491a39-c4f2-4ac8-bf7b-fb4de9e3b725","LumiNUS course site")</f>
      </c>
      <c r="F2425" s="0" t="s">
        <v>73</v>
      </c>
      <c r="G2425" s="0" t="s">
        <v>2534</v>
      </c>
      <c r="H2425" s="3">
        <v>8</v>
      </c>
    </row>
    <row r="2426">
      <c r="A2426" s="0" t="s">
        <v>4363</v>
      </c>
      <c r="B2426" s="0" t="s">
        <v>4364</v>
      </c>
      <c r="C2426" s="5">
        <f>=HYPERLINK("https://nusmods.com/modules/MS3214#timetable","Timetable")</f>
      </c>
      <c r="D2426" s="5"/>
      <c r="E2426" s="5">
        <f>=HYPERLINK("https://luminus.nus.edu.sg/modules/886b185d-6c3a-4108-aaa8-b4afd821e5ce","LumiNUS course site")</f>
      </c>
      <c r="F2426" s="0" t="s">
        <v>73</v>
      </c>
      <c r="G2426" s="0" t="s">
        <v>2534</v>
      </c>
      <c r="H2426" s="3">
        <v>9</v>
      </c>
    </row>
    <row r="2427">
      <c r="A2427" s="0" t="s">
        <v>4365</v>
      </c>
      <c r="B2427" s="0" t="s">
        <v>4366</v>
      </c>
      <c r="C2427" s="5">
        <f>=HYPERLINK("https://nusmods.com/modules/MS3216#timetable","Timetable")</f>
      </c>
      <c r="D2427" s="5"/>
      <c r="E2427" s="5">
        <f>=HYPERLINK("https://luminus.nus.edu.sg/modules/7efb41bc-4d64-4e7d-9093-331b050a9e2c","LumiNUS course site")</f>
      </c>
      <c r="F2427" s="0" t="s">
        <v>73</v>
      </c>
      <c r="G2427" s="0" t="s">
        <v>2534</v>
      </c>
      <c r="H2427" s="3">
        <v>18</v>
      </c>
    </row>
    <row r="2428">
      <c r="A2428" s="0" t="s">
        <v>4367</v>
      </c>
      <c r="B2428" s="0" t="s">
        <v>4368</v>
      </c>
      <c r="C2428" s="5">
        <f>=HYPERLINK("https://nusmods.com/modules/MS3550#timetable","Timetable")</f>
      </c>
      <c r="D2428" s="5"/>
      <c r="E2428" s="5">
        <f>=HYPERLINK("https://luminus.nus.edu.sg/modules/7e13cac6-a928-4e82-bc32-3e5f0f005c17","LumiNUS course site")</f>
      </c>
      <c r="F2428" s="0" t="s">
        <v>73</v>
      </c>
      <c r="G2428" s="0" t="s">
        <v>2534</v>
      </c>
      <c r="H2428" s="3">
        <v>1</v>
      </c>
    </row>
    <row r="2429">
      <c r="A2429" s="0" t="s">
        <v>4369</v>
      </c>
      <c r="B2429" s="0" t="s">
        <v>4370</v>
      </c>
      <c r="C2429" s="5">
        <f>=HYPERLINK("https://nusmods.com/modules/MS4101#timetable","Timetable")</f>
      </c>
      <c r="D2429" s="5"/>
      <c r="E2429" s="5">
        <f>=HYPERLINK("https://luminus.nus.edu.sg/modules/ceb45b50-86ab-4d29-930f-0bf40a0daa68","LumiNUS course site")</f>
      </c>
      <c r="F2429" s="0" t="s">
        <v>73</v>
      </c>
      <c r="G2429" s="0" t="s">
        <v>2534</v>
      </c>
      <c r="H2429" s="3">
        <v>3</v>
      </c>
    </row>
    <row r="2430">
      <c r="A2430" s="0" t="s">
        <v>4371</v>
      </c>
      <c r="B2430" s="0" t="s">
        <v>4372</v>
      </c>
      <c r="C2430" s="5">
        <f>=HYPERLINK("https://nusmods.com/modules/MS4204#timetable","Timetable")</f>
      </c>
      <c r="D2430" s="5"/>
      <c r="E2430" s="5">
        <f>=HYPERLINK("https://luminus.nus.edu.sg/modules/043efe1e-fc66-468b-9a39-8b96247f5feb","LumiNUS course site")</f>
      </c>
      <c r="F2430" s="0" t="s">
        <v>73</v>
      </c>
      <c r="G2430" s="0" t="s">
        <v>2534</v>
      </c>
      <c r="H2430" s="3">
        <v>4</v>
      </c>
    </row>
    <row r="2431">
      <c r="A2431" s="0" t="s">
        <v>4373</v>
      </c>
      <c r="B2431" s="0" t="s">
        <v>4374</v>
      </c>
      <c r="C2431" s="5">
        <f>=HYPERLINK("https://nusmods.com/modules/MS4880A#timetable","Timetable")</f>
      </c>
      <c r="D2431" s="5"/>
      <c r="E2431" s="5">
        <f>=HYPERLINK("https://luminus.nus.edu.sg/modules/64b2ee70-1339-477b-877f-641fb28c97c6","LumiNUS course site")</f>
      </c>
      <c r="F2431" s="0" t="s">
        <v>73</v>
      </c>
      <c r="G2431" s="0" t="s">
        <v>2534</v>
      </c>
      <c r="H2431" s="3">
        <v>6</v>
      </c>
    </row>
    <row r="2432">
      <c r="A2432" s="0" t="s">
        <v>4375</v>
      </c>
      <c r="B2432" s="0" t="s">
        <v>4376</v>
      </c>
      <c r="C2432" s="5">
        <f>=HYPERLINK("https://nusmods.com/modules/MS5101#timetable","Timetable")</f>
      </c>
      <c r="D2432" s="5"/>
      <c r="E2432" s="5">
        <f>=HYPERLINK("https://luminus.nus.edu.sg/modules/fd241ba5-9973-4a5b-aa99-9aed7c04b333","LumiNUS course site")</f>
      </c>
      <c r="F2432" s="0" t="s">
        <v>73</v>
      </c>
      <c r="G2432" s="0" t="s">
        <v>2534</v>
      </c>
      <c r="H2432" s="3">
        <v>7</v>
      </c>
    </row>
    <row r="2433">
      <c r="A2433" s="0" t="s">
        <v>4377</v>
      </c>
      <c r="B2433" s="0" t="s">
        <v>989</v>
      </c>
      <c r="C2433" s="5">
        <f>=HYPERLINK("https://nusmods.com/modules/MS5660#timetable","Timetable")</f>
      </c>
      <c r="D2433" s="5"/>
      <c r="E2433" s="5"/>
      <c r="F2433" s="0" t="s">
        <v>73</v>
      </c>
      <c r="G2433" s="0" t="s">
        <v>2534</v>
      </c>
      <c r="H2433" s="3">
        <v>3</v>
      </c>
    </row>
    <row r="2434">
      <c r="A2434" s="0" t="s">
        <v>4378</v>
      </c>
      <c r="B2434" s="0" t="s">
        <v>989</v>
      </c>
      <c r="C2434" s="5">
        <f>=HYPERLINK("https://nusmods.com/modules/MS6660#timetable","Timetable")</f>
      </c>
      <c r="D2434" s="5"/>
      <c r="E2434" s="5"/>
      <c r="F2434" s="0" t="s">
        <v>73</v>
      </c>
      <c r="G2434" s="0" t="s">
        <v>2534</v>
      </c>
      <c r="H2434" s="3">
        <v>1</v>
      </c>
    </row>
    <row r="2435">
      <c r="A2435" s="0" t="s">
        <v>4379</v>
      </c>
      <c r="B2435" s="0" t="s">
        <v>4380</v>
      </c>
      <c r="C2435" s="5">
        <f>=HYPERLINK("https://nusmods.com/modules/MT5006#timetable","Timetable")</f>
      </c>
      <c r="D2435" s="5">
        <f>=HYPERLINK("https://canvas.nus.edu.sg/courses/25581","Canvas course site")</f>
      </c>
      <c r="E2435" s="5">
        <f>=HYPERLINK("https://luminus.nus.edu.sg/modules/c3d8065e-b506-4b34-a9c9-98f19dbb05bb","LumiNUS course site")</f>
      </c>
      <c r="F2435" s="0" t="s">
        <v>10</v>
      </c>
      <c r="G2435" s="0" t="s">
        <v>2923</v>
      </c>
      <c r="H2435" s="3">
        <v>71</v>
      </c>
    </row>
    <row r="2436">
      <c r="A2436" s="0" t="s">
        <v>4381</v>
      </c>
      <c r="B2436" s="0" t="s">
        <v>4382</v>
      </c>
      <c r="C2436" s="5">
        <f>=HYPERLINK("https://nusmods.com/modules/MT5007#timetable","Timetable")</f>
      </c>
      <c r="D2436" s="5"/>
      <c r="E2436" s="5">
        <f>=HYPERLINK("https://luminus.nus.edu.sg/modules/8aac2bb7-1bac-4887-8edf-e289e145e764","LumiNUS course site")</f>
      </c>
      <c r="F2436" s="0" t="s">
        <v>10</v>
      </c>
      <c r="G2436" s="0" t="s">
        <v>2923</v>
      </c>
      <c r="H2436" s="3">
        <v>77</v>
      </c>
    </row>
    <row r="2437">
      <c r="A2437" s="0" t="s">
        <v>4383</v>
      </c>
      <c r="B2437" s="0" t="s">
        <v>4384</v>
      </c>
      <c r="C2437" s="5">
        <f>=HYPERLINK("https://nusmods.com/modules/MT5008#timetable","Timetable")</f>
      </c>
      <c r="D2437" s="5"/>
      <c r="E2437" s="5">
        <f>=HYPERLINK("https://luminus.nus.edu.sg/modules/c49c213b-c02b-43c9-a528-2d8eda5b7a24","LumiNUS course site")</f>
      </c>
      <c r="F2437" s="0" t="s">
        <v>10</v>
      </c>
      <c r="G2437" s="0" t="s">
        <v>2923</v>
      </c>
      <c r="H2437" s="3">
        <v>40</v>
      </c>
    </row>
    <row r="2438">
      <c r="A2438" s="0" t="s">
        <v>4385</v>
      </c>
      <c r="B2438" s="0" t="s">
        <v>4386</v>
      </c>
      <c r="C2438" s="5">
        <f>=HYPERLINK("https://nusmods.com/modules/MT5011#timetable","Timetable")</f>
      </c>
      <c r="D2438" s="5"/>
      <c r="E2438" s="5">
        <f>=HYPERLINK("https://luminus.nus.edu.sg/modules/c124a3a7-efde-4c1c-a0e1-5815a3e7c3be","LumiNUS course site")</f>
      </c>
      <c r="F2438" s="0" t="s">
        <v>10</v>
      </c>
      <c r="G2438" s="0" t="s">
        <v>2923</v>
      </c>
      <c r="H2438" s="3">
        <v>67</v>
      </c>
    </row>
    <row r="2439">
      <c r="A2439" s="0" t="s">
        <v>4387</v>
      </c>
      <c r="B2439" s="0" t="s">
        <v>4388</v>
      </c>
      <c r="C2439" s="5">
        <f>=HYPERLINK("https://nusmods.com/modules/MT5012#timetable","Timetable")</f>
      </c>
      <c r="D2439" s="5"/>
      <c r="E2439" s="5">
        <f>=HYPERLINK("https://luminus.nus.edu.sg/modules/1ac0bc44-adaa-491b-8f46-6eaf2e7996ac","LumiNUS course site")</f>
      </c>
      <c r="F2439" s="0" t="s">
        <v>10</v>
      </c>
      <c r="G2439" s="0" t="s">
        <v>2923</v>
      </c>
      <c r="H2439" s="3">
        <v>60</v>
      </c>
    </row>
    <row r="2440">
      <c r="A2440" s="0" t="s">
        <v>4389</v>
      </c>
      <c r="B2440" s="0" t="s">
        <v>4390</v>
      </c>
      <c r="C2440" s="5">
        <f>=HYPERLINK("https://nusmods.com/modules/MT5020#timetable","Timetable")</f>
      </c>
      <c r="D2440" s="5"/>
      <c r="E2440" s="5">
        <f>=HYPERLINK("https://luminus.nus.edu.sg/modules/d4a1d88a-99b9-41c1-bb45-1c95c6855317","LumiNUS course site")</f>
      </c>
      <c r="F2440" s="0" t="s">
        <v>10</v>
      </c>
      <c r="G2440" s="0" t="s">
        <v>2923</v>
      </c>
      <c r="H2440" s="3">
        <v>58</v>
      </c>
    </row>
    <row r="2441">
      <c r="A2441" s="0" t="s">
        <v>4391</v>
      </c>
      <c r="B2441" s="0" t="s">
        <v>647</v>
      </c>
      <c r="C2441" s="5">
        <f>=HYPERLINK("https://nusmods.com/modules/MT5666#timetable","Timetable")</f>
      </c>
      <c r="D2441" s="5"/>
      <c r="E2441" s="5"/>
      <c r="F2441" s="0" t="s">
        <v>10</v>
      </c>
      <c r="G2441" s="0" t="s">
        <v>2923</v>
      </c>
      <c r="H2441" s="3">
        <v>1</v>
      </c>
    </row>
    <row r="2442">
      <c r="A2442" s="0" t="s">
        <v>4392</v>
      </c>
      <c r="B2442" s="0" t="s">
        <v>4393</v>
      </c>
      <c r="C2442" s="5">
        <f>=HYPERLINK("https://nusmods.com/modules/MT5766#timetable","Timetable")</f>
      </c>
      <c r="D2442" s="5"/>
      <c r="E2442" s="5"/>
      <c r="F2442" s="0" t="s">
        <v>10</v>
      </c>
      <c r="G2442" s="0" t="s">
        <v>2923</v>
      </c>
      <c r="H2442" s="3">
        <v>1</v>
      </c>
    </row>
    <row r="2443">
      <c r="A2443" s="0" t="s">
        <v>4394</v>
      </c>
      <c r="B2443" s="0" t="s">
        <v>4395</v>
      </c>
      <c r="C2443" s="5">
        <f>=HYPERLINK("https://nusmods.com/modules/MT5900#timetable","Timetable")</f>
      </c>
      <c r="D2443" s="5"/>
      <c r="E2443" s="5"/>
      <c r="F2443" s="0" t="s">
        <v>10</v>
      </c>
      <c r="G2443" s="0" t="s">
        <v>2923</v>
      </c>
      <c r="H2443" s="3">
        <v>0</v>
      </c>
    </row>
    <row r="2444">
      <c r="A2444" s="0" t="s">
        <v>4396</v>
      </c>
      <c r="B2444" s="0" t="s">
        <v>4397</v>
      </c>
      <c r="C2444" s="5">
        <f>=HYPERLINK("https://nusmods.com/modules/MT5901#timetable","Timetable")</f>
      </c>
      <c r="D2444" s="5"/>
      <c r="E2444" s="5"/>
      <c r="F2444" s="0" t="s">
        <v>10</v>
      </c>
      <c r="G2444" s="0" t="s">
        <v>2923</v>
      </c>
      <c r="H2444" s="3">
        <v>0</v>
      </c>
    </row>
    <row r="2445">
      <c r="A2445" s="0" t="s">
        <v>4398</v>
      </c>
      <c r="B2445" s="0" t="s">
        <v>4399</v>
      </c>
      <c r="C2445" s="5">
        <f>=HYPERLINK("https://nusmods.com/modules/MT5902#timetable","Timetable")</f>
      </c>
      <c r="D2445" s="5">
        <f>=HYPERLINK("https://canvas.nus.edu.sg/courses/25628","Canvas course site")</f>
      </c>
      <c r="E2445" s="5">
        <f>=HYPERLINK("https://luminus.nus.edu.sg/modules/1ab14326-e305-48e0-835f-f1adae1a7c5f","LumiNUS course site")</f>
      </c>
      <c r="F2445" s="0" t="s">
        <v>10</v>
      </c>
      <c r="G2445" s="0" t="s">
        <v>2923</v>
      </c>
      <c r="H2445" s="3">
        <v>15</v>
      </c>
    </row>
    <row r="2446">
      <c r="A2446" s="0" t="s">
        <v>4400</v>
      </c>
      <c r="B2446" s="0" t="s">
        <v>4401</v>
      </c>
      <c r="C2446" s="5">
        <f>=HYPERLINK("https://nusmods.com/modules/MT5913#timetable","Timetable")</f>
      </c>
      <c r="D2446" s="5"/>
      <c r="E2446" s="5">
        <f>=HYPERLINK("https://luminus.nus.edu.sg/modules/fbfa5095-496a-43b3-85b3-238deb070267","LumiNUS course site")</f>
      </c>
      <c r="F2446" s="0" t="s">
        <v>10</v>
      </c>
      <c r="G2446" s="0" t="s">
        <v>2923</v>
      </c>
      <c r="H2446" s="3">
        <v>28</v>
      </c>
    </row>
    <row r="2447">
      <c r="A2447" s="0" t="s">
        <v>4402</v>
      </c>
      <c r="B2447" s="0" t="s">
        <v>4403</v>
      </c>
      <c r="C2447" s="5">
        <f>=HYPERLINK("https://nusmods.com/modules/MT5920#timetable","Timetable")</f>
      </c>
      <c r="D2447" s="5">
        <f>=HYPERLINK("https://canvas.nus.edu.sg/courses/25638","Canvas course site")</f>
      </c>
      <c r="E2447" s="5">
        <f>=HYPERLINK("https://luminus.nus.edu.sg/modules/bba944ba-4ee2-4e82-8dcc-83233cebb842","LumiNUS course site")</f>
      </c>
      <c r="F2447" s="0" t="s">
        <v>10</v>
      </c>
      <c r="G2447" s="0" t="s">
        <v>2923</v>
      </c>
      <c r="H2447" s="3">
        <v>30</v>
      </c>
    </row>
    <row r="2448">
      <c r="A2448" s="0" t="s">
        <v>4404</v>
      </c>
      <c r="B2448" s="0" t="s">
        <v>649</v>
      </c>
      <c r="C2448" s="5">
        <f>=HYPERLINK("https://nusmods.com/modules/MT5999#timetable","Timetable")</f>
      </c>
      <c r="D2448" s="5"/>
      <c r="E2448" s="5"/>
      <c r="F2448" s="0" t="s">
        <v>10</v>
      </c>
      <c r="G2448" s="0" t="s">
        <v>2923</v>
      </c>
      <c r="H2448" s="3">
        <v>1</v>
      </c>
    </row>
    <row r="2449">
      <c r="A2449" s="0" t="s">
        <v>4405</v>
      </c>
      <c r="B2449" s="0" t="s">
        <v>651</v>
      </c>
      <c r="C2449" s="5">
        <f>=HYPERLINK("https://nusmods.com/modules/MT6999#timetable","Timetable")</f>
      </c>
      <c r="D2449" s="5"/>
      <c r="E2449" s="5"/>
      <c r="F2449" s="0" t="s">
        <v>10</v>
      </c>
      <c r="G2449" s="0" t="s">
        <v>2923</v>
      </c>
      <c r="H2449" s="3">
        <v>7</v>
      </c>
    </row>
    <row r="2450">
      <c r="A2450" s="0" t="s">
        <v>4406</v>
      </c>
      <c r="B2450" s="0" t="s">
        <v>4407</v>
      </c>
      <c r="C2450" s="5">
        <f>=HYPERLINK("https://nusmods.com/modules/MTM5001#timetable","Timetable")</f>
      </c>
      <c r="D2450" s="5"/>
      <c r="E2450" s="5">
        <f>=HYPERLINK("https://luminus.nus.edu.sg/modules/80891826-2ddb-4d49-8b55-761b8ec27b47","LumiNUS course site")</f>
      </c>
      <c r="F2450" s="0" t="s">
        <v>10</v>
      </c>
      <c r="G2450" s="0" t="s">
        <v>2923</v>
      </c>
      <c r="H2450" s="3">
        <v>54</v>
      </c>
    </row>
    <row r="2451">
      <c r="A2451" s="0" t="s">
        <v>4408</v>
      </c>
      <c r="B2451" s="0" t="s">
        <v>4409</v>
      </c>
      <c r="C2451" s="5">
        <f>=HYPERLINK("https://nusmods.com/modules/MTM5002#timetable","Timetable")</f>
      </c>
      <c r="D2451" s="5"/>
      <c r="E2451" s="5">
        <f>=HYPERLINK("https://luminus.nus.edu.sg/modules/52688768-6fe9-4e34-96d4-2c3095c50335","LumiNUS course site")</f>
      </c>
      <c r="F2451" s="0" t="s">
        <v>10</v>
      </c>
      <c r="G2451" s="0" t="s">
        <v>2923</v>
      </c>
      <c r="H2451" s="3">
        <v>55</v>
      </c>
    </row>
    <row r="2452">
      <c r="A2452" s="0" t="s">
        <v>4410</v>
      </c>
      <c r="B2452" s="0" t="s">
        <v>4411</v>
      </c>
      <c r="C2452" s="5">
        <f>=HYPERLINK("https://nusmods.com/modules/MTM5004#timetable","Timetable")</f>
      </c>
      <c r="D2452" s="5"/>
      <c r="E2452" s="5"/>
      <c r="F2452" s="0" t="s">
        <v>10</v>
      </c>
      <c r="G2452" s="0" t="s">
        <v>2923</v>
      </c>
      <c r="H2452" s="3">
        <v>51</v>
      </c>
    </row>
    <row r="2453">
      <c r="A2453" s="0" t="s">
        <v>4412</v>
      </c>
      <c r="B2453" s="0" t="s">
        <v>4413</v>
      </c>
      <c r="C2453" s="5">
        <f>=HYPERLINK("https://nusmods.com/modules/MTM5101P#timetable","Timetable")</f>
      </c>
      <c r="D2453" s="5">
        <f>=HYPERLINK("https://canvas.nus.edu.sg/courses/26752","Canvas course site")</f>
      </c>
      <c r="E2453" s="5"/>
      <c r="F2453" s="0" t="s">
        <v>10</v>
      </c>
      <c r="G2453" s="0" t="s">
        <v>2923</v>
      </c>
      <c r="H2453" s="3">
        <v>5</v>
      </c>
    </row>
    <row r="2454">
      <c r="A2454" s="0" t="s">
        <v>4414</v>
      </c>
      <c r="B2454" s="0" t="s">
        <v>4415</v>
      </c>
      <c r="C2454" s="5">
        <f>=HYPERLINK("https://nusmods.com/modules/MUA1101#timetable","Timetable")</f>
      </c>
      <c r="D2454" s="5"/>
      <c r="E2454" s="5"/>
      <c r="F2454" s="0" t="s">
        <v>2470</v>
      </c>
      <c r="G2454" s="0" t="s">
        <v>2471</v>
      </c>
      <c r="H2454" s="3">
        <v>3</v>
      </c>
    </row>
    <row r="2455">
      <c r="A2455" s="0" t="s">
        <v>4416</v>
      </c>
      <c r="B2455" s="0" t="s">
        <v>4417</v>
      </c>
      <c r="C2455" s="5">
        <f>=HYPERLINK("https://nusmods.com/modules/MUA1107#timetable","Timetable")</f>
      </c>
      <c r="D2455" s="5"/>
      <c r="E2455" s="5"/>
      <c r="F2455" s="0" t="s">
        <v>2470</v>
      </c>
      <c r="G2455" s="0" t="s">
        <v>2471</v>
      </c>
      <c r="H2455" s="3">
        <v>9</v>
      </c>
    </row>
    <row r="2456">
      <c r="A2456" s="0" t="s">
        <v>4418</v>
      </c>
      <c r="B2456" s="0" t="s">
        <v>4419</v>
      </c>
      <c r="C2456" s="5">
        <f>=HYPERLINK("https://nusmods.com/modules/MUA1108#timetable","Timetable")</f>
      </c>
      <c r="D2456" s="5"/>
      <c r="E2456" s="5"/>
      <c r="F2456" s="0" t="s">
        <v>2470</v>
      </c>
      <c r="G2456" s="0" t="s">
        <v>2471</v>
      </c>
      <c r="H2456" s="3">
        <v>0</v>
      </c>
    </row>
    <row r="2457">
      <c r="A2457" s="0" t="s">
        <v>4420</v>
      </c>
      <c r="B2457" s="0" t="s">
        <v>4421</v>
      </c>
      <c r="C2457" s="5">
        <f>=HYPERLINK("https://nusmods.com/modules/MUA1111#timetable","Timetable")</f>
      </c>
      <c r="D2457" s="5">
        <f>=HYPERLINK("https://canvas.nus.edu.sg/courses/25684","Canvas course site")</f>
      </c>
      <c r="E2457" s="5"/>
      <c r="F2457" s="0" t="s">
        <v>2470</v>
      </c>
      <c r="G2457" s="0" t="s">
        <v>2471</v>
      </c>
      <c r="H2457" s="3">
        <v>3</v>
      </c>
    </row>
    <row r="2458">
      <c r="A2458" s="0" t="s">
        <v>4422</v>
      </c>
      <c r="B2458" s="0" t="s">
        <v>4423</v>
      </c>
      <c r="C2458" s="5">
        <f>=HYPERLINK("https://nusmods.com/modules/MUA1115#timetable","Timetable")</f>
      </c>
      <c r="D2458" s="5"/>
      <c r="E2458" s="5"/>
      <c r="F2458" s="0" t="s">
        <v>2470</v>
      </c>
      <c r="G2458" s="0" t="s">
        <v>2471</v>
      </c>
      <c r="H2458" s="3">
        <v>3</v>
      </c>
    </row>
    <row r="2459">
      <c r="A2459" s="0" t="s">
        <v>4424</v>
      </c>
      <c r="B2459" s="0" t="s">
        <v>4425</v>
      </c>
      <c r="C2459" s="5">
        <f>=HYPERLINK("https://nusmods.com/modules/MUA1153#timetable","Timetable")</f>
      </c>
      <c r="D2459" s="5"/>
      <c r="E2459" s="5"/>
      <c r="F2459" s="0" t="s">
        <v>2470</v>
      </c>
      <c r="G2459" s="0" t="s">
        <v>2471</v>
      </c>
      <c r="H2459" s="3">
        <v>53</v>
      </c>
    </row>
    <row r="2460">
      <c r="A2460" s="0" t="s">
        <v>4426</v>
      </c>
      <c r="B2460" s="0" t="s">
        <v>4427</v>
      </c>
      <c r="C2460" s="5">
        <f>=HYPERLINK("https://nusmods.com/modules/MUA1154#timetable","Timetable")</f>
      </c>
      <c r="D2460" s="5"/>
      <c r="E2460" s="5"/>
      <c r="F2460" s="0" t="s">
        <v>2470</v>
      </c>
      <c r="G2460" s="0" t="s">
        <v>2471</v>
      </c>
      <c r="H2460" s="3">
        <v>2</v>
      </c>
    </row>
    <row r="2461">
      <c r="A2461" s="0" t="s">
        <v>4428</v>
      </c>
      <c r="B2461" s="0" t="s">
        <v>4429</v>
      </c>
      <c r="C2461" s="5">
        <f>=HYPERLINK("https://nusmods.com/modules/MUA1161#timetable","Timetable")</f>
      </c>
      <c r="D2461" s="5"/>
      <c r="E2461" s="5"/>
      <c r="F2461" s="0" t="s">
        <v>2470</v>
      </c>
      <c r="G2461" s="0" t="s">
        <v>2471</v>
      </c>
      <c r="H2461" s="3">
        <v>34</v>
      </c>
    </row>
    <row r="2462">
      <c r="A2462" s="0" t="s">
        <v>4430</v>
      </c>
      <c r="B2462" s="0" t="s">
        <v>4431</v>
      </c>
      <c r="C2462" s="5">
        <f>=HYPERLINK("https://nusmods.com/modules/MUA1162#timetable","Timetable")</f>
      </c>
      <c r="D2462" s="5"/>
      <c r="E2462" s="5"/>
      <c r="F2462" s="0" t="s">
        <v>2470</v>
      </c>
      <c r="G2462" s="0" t="s">
        <v>2471</v>
      </c>
      <c r="H2462" s="3">
        <v>1</v>
      </c>
    </row>
    <row r="2463">
      <c r="A2463" s="0" t="s">
        <v>4432</v>
      </c>
      <c r="B2463" s="0" t="s">
        <v>4433</v>
      </c>
      <c r="C2463" s="5">
        <f>=HYPERLINK("https://nusmods.com/modules/MUA1163#timetable","Timetable")</f>
      </c>
      <c r="D2463" s="5">
        <f>=HYPERLINK("https://canvas.nus.edu.sg/courses/25709","Canvas course site")</f>
      </c>
      <c r="E2463" s="5"/>
      <c r="F2463" s="0" t="s">
        <v>2470</v>
      </c>
      <c r="G2463" s="0" t="s">
        <v>2471</v>
      </c>
      <c r="H2463" s="3">
        <v>53</v>
      </c>
    </row>
    <row r="2464">
      <c r="A2464" s="0" t="s">
        <v>4434</v>
      </c>
      <c r="B2464" s="0" t="s">
        <v>4435</v>
      </c>
      <c r="C2464" s="5">
        <f>=HYPERLINK("https://nusmods.com/modules/MUA1165#timetable","Timetable")</f>
      </c>
      <c r="D2464" s="5"/>
      <c r="E2464" s="5">
        <f>=HYPERLINK("https://luminus.nus.edu.sg/modules/78276184-bf72-4436-8e0e-b40e98fa574c","LumiNUS course site")</f>
      </c>
      <c r="F2464" s="0" t="s">
        <v>2470</v>
      </c>
      <c r="G2464" s="0" t="s">
        <v>2471</v>
      </c>
      <c r="H2464" s="3">
        <v>12</v>
      </c>
    </row>
    <row r="2465">
      <c r="A2465" s="0" t="s">
        <v>4436</v>
      </c>
      <c r="B2465" s="0" t="s">
        <v>4437</v>
      </c>
      <c r="C2465" s="5">
        <f>=HYPERLINK("https://nusmods.com/modules/MUA1168#timetable","Timetable")</f>
      </c>
      <c r="D2465" s="5"/>
      <c r="E2465" s="5"/>
      <c r="F2465" s="0" t="s">
        <v>2470</v>
      </c>
      <c r="G2465" s="0" t="s">
        <v>2471</v>
      </c>
      <c r="H2465" s="3">
        <v>7</v>
      </c>
    </row>
    <row r="2466">
      <c r="A2466" s="0" t="s">
        <v>4438</v>
      </c>
      <c r="B2466" s="0" t="s">
        <v>4439</v>
      </c>
      <c r="C2466" s="5">
        <f>=HYPERLINK("https://nusmods.com/modules/MUA1170#timetable","Timetable")</f>
      </c>
      <c r="D2466" s="5"/>
      <c r="E2466" s="5"/>
      <c r="F2466" s="0" t="s">
        <v>2470</v>
      </c>
      <c r="G2466" s="0" t="s">
        <v>2471</v>
      </c>
      <c r="H2466" s="3">
        <v>9</v>
      </c>
    </row>
    <row r="2467">
      <c r="A2467" s="0" t="s">
        <v>4440</v>
      </c>
      <c r="B2467" s="0" t="s">
        <v>4441</v>
      </c>
      <c r="C2467" s="5">
        <f>=HYPERLINK("https://nusmods.com/modules/MUA1172#timetable","Timetable")</f>
      </c>
      <c r="D2467" s="5"/>
      <c r="E2467" s="5"/>
      <c r="F2467" s="0" t="s">
        <v>2470</v>
      </c>
      <c r="G2467" s="0" t="s">
        <v>2471</v>
      </c>
      <c r="H2467" s="3">
        <v>9</v>
      </c>
    </row>
    <row r="2468">
      <c r="A2468" s="0" t="s">
        <v>4442</v>
      </c>
      <c r="B2468" s="0" t="s">
        <v>4443</v>
      </c>
      <c r="C2468" s="5">
        <f>=HYPERLINK("https://nusmods.com/modules/MUA1190#timetable","Timetable")</f>
      </c>
      <c r="D2468" s="5"/>
      <c r="E2468" s="5"/>
      <c r="F2468" s="0" t="s">
        <v>2470</v>
      </c>
      <c r="G2468" s="0" t="s">
        <v>2471</v>
      </c>
      <c r="H2468" s="3">
        <v>5</v>
      </c>
    </row>
    <row r="2469">
      <c r="A2469" s="0" t="s">
        <v>4444</v>
      </c>
      <c r="B2469" s="0" t="s">
        <v>4445</v>
      </c>
      <c r="C2469" s="5">
        <f>=HYPERLINK("https://nusmods.com/modules/MUA1192#timetable","Timetable")</f>
      </c>
      <c r="D2469" s="5"/>
      <c r="E2469" s="5"/>
      <c r="F2469" s="0" t="s">
        <v>2470</v>
      </c>
      <c r="G2469" s="0" t="s">
        <v>2471</v>
      </c>
      <c r="H2469" s="3">
        <v>20</v>
      </c>
    </row>
    <row r="2470">
      <c r="A2470" s="0" t="s">
        <v>4446</v>
      </c>
      <c r="B2470" s="0" t="s">
        <v>4447</v>
      </c>
      <c r="C2470" s="5">
        <f>=HYPERLINK("https://nusmods.com/modules/MUA1193#timetable","Timetable")</f>
      </c>
      <c r="D2470" s="5"/>
      <c r="E2470" s="5"/>
      <c r="F2470" s="0" t="s">
        <v>2470</v>
      </c>
      <c r="G2470" s="0" t="s">
        <v>2471</v>
      </c>
      <c r="H2470" s="3">
        <v>0</v>
      </c>
    </row>
    <row r="2471">
      <c r="A2471" s="0" t="s">
        <v>4448</v>
      </c>
      <c r="B2471" s="0" t="s">
        <v>4449</v>
      </c>
      <c r="C2471" s="5">
        <f>=HYPERLINK("https://nusmods.com/modules/MUA1196#timetable","Timetable")</f>
      </c>
      <c r="D2471" s="5"/>
      <c r="E2471" s="5">
        <f>=HYPERLINK("https://luminus.nus.edu.sg/modules/1e530a6f-0b14-440f-8b56-e059b9082b92","LumiNUS course site")</f>
      </c>
      <c r="F2471" s="0" t="s">
        <v>2470</v>
      </c>
      <c r="G2471" s="0" t="s">
        <v>2471</v>
      </c>
      <c r="H2471" s="3">
        <v>5</v>
      </c>
    </row>
    <row r="2472">
      <c r="A2472" s="0" t="s">
        <v>4450</v>
      </c>
      <c r="B2472" s="0" t="s">
        <v>4451</v>
      </c>
      <c r="C2472" s="5">
        <f>=HYPERLINK("https://nusmods.com/modules/MUA1223#timetable","Timetable")</f>
      </c>
      <c r="D2472" s="5">
        <f>=HYPERLINK("https://canvas.nus.edu.sg/courses/25759","Canvas course site")</f>
      </c>
      <c r="E2472" s="5"/>
      <c r="F2472" s="0" t="s">
        <v>2470</v>
      </c>
      <c r="G2472" s="0" t="s">
        <v>2471</v>
      </c>
      <c r="H2472" s="3">
        <v>13</v>
      </c>
    </row>
    <row r="2473">
      <c r="A2473" s="0" t="s">
        <v>4452</v>
      </c>
      <c r="B2473" s="0" t="s">
        <v>4453</v>
      </c>
      <c r="C2473" s="5">
        <f>=HYPERLINK("https://nusmods.com/modules/MUA1270#timetable","Timetable")</f>
      </c>
      <c r="D2473" s="5"/>
      <c r="E2473" s="5">
        <f>=HYPERLINK("https://luminus.nus.edu.sg/modules/73ee0ab7-0c5c-4d15-aa65-55c3a34d2661","LumiNUS course site")</f>
      </c>
      <c r="F2473" s="0" t="s">
        <v>2470</v>
      </c>
      <c r="G2473" s="0" t="s">
        <v>2471</v>
      </c>
      <c r="H2473" s="3">
        <v>12</v>
      </c>
    </row>
    <row r="2474">
      <c r="A2474" s="0" t="s">
        <v>4454</v>
      </c>
      <c r="B2474" s="0" t="s">
        <v>4455</v>
      </c>
      <c r="C2474" s="5">
        <f>=HYPERLINK("https://nusmods.com/modules/MUA2101#timetable","Timetable")</f>
      </c>
      <c r="D2474" s="5"/>
      <c r="E2474" s="5"/>
      <c r="F2474" s="0" t="s">
        <v>2470</v>
      </c>
      <c r="G2474" s="0" t="s">
        <v>2471</v>
      </c>
      <c r="H2474" s="3">
        <v>3</v>
      </c>
    </row>
    <row r="2475">
      <c r="A2475" s="0" t="s">
        <v>4456</v>
      </c>
      <c r="B2475" s="0" t="s">
        <v>4457</v>
      </c>
      <c r="C2475" s="5">
        <f>=HYPERLINK("https://nusmods.com/modules/MUA2107#timetable","Timetable")</f>
      </c>
      <c r="D2475" s="5"/>
      <c r="E2475" s="5"/>
      <c r="F2475" s="0" t="s">
        <v>2470</v>
      </c>
      <c r="G2475" s="0" t="s">
        <v>2471</v>
      </c>
      <c r="H2475" s="3">
        <v>31</v>
      </c>
    </row>
    <row r="2476">
      <c r="A2476" s="0" t="s">
        <v>4458</v>
      </c>
      <c r="B2476" s="0" t="s">
        <v>4459</v>
      </c>
      <c r="C2476" s="5">
        <f>=HYPERLINK("https://nusmods.com/modules/MUA2108#timetable","Timetable")</f>
      </c>
      <c r="D2476" s="5"/>
      <c r="E2476" s="5"/>
      <c r="F2476" s="0" t="s">
        <v>2470</v>
      </c>
      <c r="G2476" s="0" t="s">
        <v>2471</v>
      </c>
      <c r="H2476" s="3">
        <v>1</v>
      </c>
    </row>
    <row r="2477">
      <c r="A2477" s="0" t="s">
        <v>4460</v>
      </c>
      <c r="B2477" s="0" t="s">
        <v>4461</v>
      </c>
      <c r="C2477" s="5">
        <f>=HYPERLINK("https://nusmods.com/modules/MUA2109#timetable","Timetable")</f>
      </c>
      <c r="D2477" s="5"/>
      <c r="E2477" s="5"/>
      <c r="F2477" s="0" t="s">
        <v>2470</v>
      </c>
      <c r="G2477" s="0" t="s">
        <v>2471</v>
      </c>
      <c r="H2477" s="3">
        <v>22</v>
      </c>
    </row>
    <row r="2478">
      <c r="A2478" s="0" t="s">
        <v>4462</v>
      </c>
      <c r="B2478" s="0" t="s">
        <v>4463</v>
      </c>
      <c r="C2478" s="5">
        <f>=HYPERLINK("https://nusmods.com/modules/MUA2110#timetable","Timetable")</f>
      </c>
      <c r="D2478" s="5"/>
      <c r="E2478" s="5"/>
      <c r="F2478" s="0" t="s">
        <v>2470</v>
      </c>
      <c r="G2478" s="0" t="s">
        <v>2471</v>
      </c>
      <c r="H2478" s="3">
        <v>15</v>
      </c>
    </row>
    <row r="2479">
      <c r="A2479" s="0" t="s">
        <v>4464</v>
      </c>
      <c r="B2479" s="0" t="s">
        <v>4465</v>
      </c>
      <c r="C2479" s="5">
        <f>=HYPERLINK("https://nusmods.com/modules/MUA2153#timetable","Timetable")</f>
      </c>
      <c r="D2479" s="5"/>
      <c r="E2479" s="5"/>
      <c r="F2479" s="0" t="s">
        <v>2470</v>
      </c>
      <c r="G2479" s="0" t="s">
        <v>2471</v>
      </c>
      <c r="H2479" s="3">
        <v>57</v>
      </c>
    </row>
    <row r="2480">
      <c r="A2480" s="0" t="s">
        <v>4466</v>
      </c>
      <c r="B2480" s="0" t="s">
        <v>4467</v>
      </c>
      <c r="C2480" s="5">
        <f>=HYPERLINK("https://nusmods.com/modules/MUA2154#timetable","Timetable")</f>
      </c>
      <c r="D2480" s="5"/>
      <c r="E2480" s="5"/>
      <c r="F2480" s="0" t="s">
        <v>2470</v>
      </c>
      <c r="G2480" s="0" t="s">
        <v>2471</v>
      </c>
      <c r="H2480" s="3">
        <v>2</v>
      </c>
    </row>
    <row r="2481">
      <c r="A2481" s="0" t="s">
        <v>4468</v>
      </c>
      <c r="B2481" s="0" t="s">
        <v>4469</v>
      </c>
      <c r="C2481" s="5">
        <f>=HYPERLINK("https://nusmods.com/modules/MUA2161#timetable","Timetable")</f>
      </c>
      <c r="D2481" s="5"/>
      <c r="E2481" s="5"/>
      <c r="F2481" s="0" t="s">
        <v>2470</v>
      </c>
      <c r="G2481" s="0" t="s">
        <v>2471</v>
      </c>
      <c r="H2481" s="3">
        <v>41</v>
      </c>
    </row>
    <row r="2482">
      <c r="A2482" s="0" t="s">
        <v>4470</v>
      </c>
      <c r="B2482" s="0" t="s">
        <v>4471</v>
      </c>
      <c r="C2482" s="5">
        <f>=HYPERLINK("https://nusmods.com/modules/MUA2162#timetable","Timetable")</f>
      </c>
      <c r="D2482" s="5"/>
      <c r="E2482" s="5"/>
      <c r="F2482" s="0" t="s">
        <v>2470</v>
      </c>
      <c r="G2482" s="0" t="s">
        <v>2471</v>
      </c>
      <c r="H2482" s="3">
        <v>2</v>
      </c>
    </row>
    <row r="2483">
      <c r="A2483" s="0" t="s">
        <v>4472</v>
      </c>
      <c r="B2483" s="0" t="s">
        <v>4473</v>
      </c>
      <c r="C2483" s="5">
        <f>=HYPERLINK("https://nusmods.com/modules/MUA2163#timetable","Timetable")</f>
      </c>
      <c r="D2483" s="5">
        <f>=HYPERLINK("https://canvas.nus.edu.sg/courses/25806","Canvas course site")</f>
      </c>
      <c r="E2483" s="5"/>
      <c r="F2483" s="0" t="s">
        <v>2470</v>
      </c>
      <c r="G2483" s="0" t="s">
        <v>2471</v>
      </c>
      <c r="H2483" s="3">
        <v>61</v>
      </c>
    </row>
    <row r="2484">
      <c r="A2484" s="0" t="s">
        <v>4474</v>
      </c>
      <c r="B2484" s="0" t="s">
        <v>4475</v>
      </c>
      <c r="C2484" s="5">
        <f>=HYPERLINK("https://nusmods.com/modules/MUA2168#timetable","Timetable")</f>
      </c>
      <c r="D2484" s="5"/>
      <c r="E2484" s="5"/>
      <c r="F2484" s="0" t="s">
        <v>2470</v>
      </c>
      <c r="G2484" s="0" t="s">
        <v>2471</v>
      </c>
      <c r="H2484" s="3">
        <v>5</v>
      </c>
    </row>
    <row r="2485">
      <c r="A2485" s="0" t="s">
        <v>4476</v>
      </c>
      <c r="B2485" s="0" t="s">
        <v>4477</v>
      </c>
      <c r="C2485" s="5">
        <f>=HYPERLINK("https://nusmods.com/modules/MUA2170#timetable","Timetable")</f>
      </c>
      <c r="D2485" s="5"/>
      <c r="E2485" s="5"/>
      <c r="F2485" s="0" t="s">
        <v>2470</v>
      </c>
      <c r="G2485" s="0" t="s">
        <v>2471</v>
      </c>
      <c r="H2485" s="3">
        <v>7</v>
      </c>
    </row>
    <row r="2486">
      <c r="A2486" s="0" t="s">
        <v>4478</v>
      </c>
      <c r="B2486" s="0" t="s">
        <v>4479</v>
      </c>
      <c r="C2486" s="5">
        <f>=HYPERLINK("https://nusmods.com/modules/MUA2172#timetable","Timetable")</f>
      </c>
      <c r="D2486" s="5"/>
      <c r="E2486" s="5"/>
      <c r="F2486" s="0" t="s">
        <v>2470</v>
      </c>
      <c r="G2486" s="0" t="s">
        <v>2471</v>
      </c>
      <c r="H2486" s="3">
        <v>8</v>
      </c>
    </row>
    <row r="2487">
      <c r="A2487" s="0" t="s">
        <v>4480</v>
      </c>
      <c r="B2487" s="0" t="s">
        <v>4481</v>
      </c>
      <c r="C2487" s="5">
        <f>=HYPERLINK("https://nusmods.com/modules/MUA2190#timetable","Timetable")</f>
      </c>
      <c r="D2487" s="5"/>
      <c r="E2487" s="5"/>
      <c r="F2487" s="0" t="s">
        <v>2470</v>
      </c>
      <c r="G2487" s="0" t="s">
        <v>2471</v>
      </c>
      <c r="H2487" s="3">
        <v>3</v>
      </c>
    </row>
    <row r="2488">
      <c r="A2488" s="0" t="s">
        <v>4482</v>
      </c>
      <c r="B2488" s="0" t="s">
        <v>4483</v>
      </c>
      <c r="C2488" s="5">
        <f>=HYPERLINK("https://nusmods.com/modules/MUA2191#timetable","Timetable")</f>
      </c>
      <c r="D2488" s="5"/>
      <c r="E2488" s="5"/>
      <c r="F2488" s="0" t="s">
        <v>2470</v>
      </c>
      <c r="G2488" s="0" t="s">
        <v>2471</v>
      </c>
      <c r="H2488" s="3">
        <v>1</v>
      </c>
    </row>
    <row r="2489">
      <c r="A2489" s="0" t="s">
        <v>4484</v>
      </c>
      <c r="B2489" s="0" t="s">
        <v>4485</v>
      </c>
      <c r="C2489" s="5">
        <f>=HYPERLINK("https://nusmods.com/modules/MUA2192#timetable","Timetable")</f>
      </c>
      <c r="D2489" s="5"/>
      <c r="E2489" s="5"/>
      <c r="F2489" s="0" t="s">
        <v>2470</v>
      </c>
      <c r="G2489" s="0" t="s">
        <v>2471</v>
      </c>
      <c r="H2489" s="3">
        <v>3</v>
      </c>
    </row>
    <row r="2490">
      <c r="A2490" s="0" t="s">
        <v>4486</v>
      </c>
      <c r="B2490" s="0" t="s">
        <v>4487</v>
      </c>
      <c r="C2490" s="5">
        <f>=HYPERLINK("https://nusmods.com/modules/MUA2193#timetable","Timetable")</f>
      </c>
      <c r="D2490" s="5"/>
      <c r="E2490" s="5"/>
      <c r="F2490" s="0" t="s">
        <v>2470</v>
      </c>
      <c r="G2490" s="0" t="s">
        <v>2471</v>
      </c>
      <c r="H2490" s="3">
        <v>0</v>
      </c>
    </row>
    <row r="2491">
      <c r="A2491" s="0" t="s">
        <v>4488</v>
      </c>
      <c r="B2491" s="0" t="s">
        <v>4489</v>
      </c>
      <c r="C2491" s="5">
        <f>=HYPERLINK("https://nusmods.com/modules/MUA2203#timetable","Timetable")</f>
      </c>
      <c r="D2491" s="5">
        <f>=HYPERLINK("https://canvas.nus.edu.sg/courses/25847","Canvas course site")</f>
      </c>
      <c r="E2491" s="5"/>
      <c r="F2491" s="0" t="s">
        <v>2470</v>
      </c>
      <c r="G2491" s="0" t="s">
        <v>2471</v>
      </c>
      <c r="H2491" s="3">
        <v>3</v>
      </c>
    </row>
    <row r="2492">
      <c r="A2492" s="0" t="s">
        <v>4490</v>
      </c>
      <c r="B2492" s="0" t="s">
        <v>4491</v>
      </c>
      <c r="C2492" s="5">
        <f>=HYPERLINK("https://nusmods.com/modules/MUA2205#timetable","Timetable")</f>
      </c>
      <c r="D2492" s="5"/>
      <c r="E2492" s="5">
        <f>=HYPERLINK("https://luminus.nus.edu.sg/modules/a356ddcc-25e0-4994-9354-6de54bf5bc9a","LumiNUS course site")</f>
      </c>
      <c r="F2492" s="0" t="s">
        <v>2470</v>
      </c>
      <c r="G2492" s="0" t="s">
        <v>2471</v>
      </c>
      <c r="H2492" s="3">
        <v>19</v>
      </c>
    </row>
    <row r="2493">
      <c r="A2493" s="0" t="s">
        <v>4492</v>
      </c>
      <c r="B2493" s="0" t="s">
        <v>4493</v>
      </c>
      <c r="C2493" s="5">
        <f>=HYPERLINK("https://nusmods.com/modules/MUA2210#timetable","Timetable")</f>
      </c>
      <c r="D2493" s="5"/>
      <c r="E2493" s="5">
        <f>=HYPERLINK("https://luminus.nus.edu.sg/modules/191d3883-4787-4cdc-b924-889b87f2edd7","LumiNUS course site")</f>
      </c>
      <c r="F2493" s="0" t="s">
        <v>2470</v>
      </c>
      <c r="G2493" s="0" t="s">
        <v>2471</v>
      </c>
      <c r="H2493" s="3">
        <v>5</v>
      </c>
    </row>
    <row r="2494">
      <c r="A2494" s="0" t="s">
        <v>4494</v>
      </c>
      <c r="B2494" s="0" t="s">
        <v>4495</v>
      </c>
      <c r="C2494" s="5">
        <f>=HYPERLINK("https://nusmods.com/modules/MUA2240#timetable","Timetable")</f>
      </c>
      <c r="D2494" s="5"/>
      <c r="E2494" s="5"/>
      <c r="F2494" s="0" t="s">
        <v>2470</v>
      </c>
      <c r="G2494" s="0" t="s">
        <v>2471</v>
      </c>
      <c r="H2494" s="3">
        <v>0</v>
      </c>
    </row>
    <row r="2495">
      <c r="A2495" s="0" t="s">
        <v>4496</v>
      </c>
      <c r="B2495" s="0" t="s">
        <v>4497</v>
      </c>
      <c r="C2495" s="5">
        <f>=HYPERLINK("https://nusmods.com/modules/MUA2241#timetable","Timetable")</f>
      </c>
      <c r="D2495" s="5"/>
      <c r="E2495" s="5"/>
      <c r="F2495" s="0" t="s">
        <v>2470</v>
      </c>
      <c r="G2495" s="0" t="s">
        <v>2471</v>
      </c>
      <c r="H2495" s="3">
        <v>0</v>
      </c>
    </row>
    <row r="2496">
      <c r="A2496" s="0" t="s">
        <v>4498</v>
      </c>
      <c r="B2496" s="0" t="s">
        <v>4499</v>
      </c>
      <c r="C2496" s="5">
        <f>=HYPERLINK("https://nusmods.com/modules/MUA2242#timetable","Timetable")</f>
      </c>
      <c r="D2496" s="5"/>
      <c r="E2496" s="5"/>
      <c r="F2496" s="0" t="s">
        <v>2470</v>
      </c>
      <c r="G2496" s="0" t="s">
        <v>2471</v>
      </c>
      <c r="H2496" s="3">
        <v>0</v>
      </c>
    </row>
    <row r="2497">
      <c r="A2497" s="0" t="s">
        <v>4500</v>
      </c>
      <c r="B2497" s="0" t="s">
        <v>4501</v>
      </c>
      <c r="C2497" s="5">
        <f>=HYPERLINK("https://nusmods.com/modules/MUA2243#timetable","Timetable")</f>
      </c>
      <c r="D2497" s="5"/>
      <c r="E2497" s="5"/>
      <c r="F2497" s="0" t="s">
        <v>2470</v>
      </c>
      <c r="G2497" s="0" t="s">
        <v>2471</v>
      </c>
      <c r="H2497" s="3">
        <v>7</v>
      </c>
    </row>
    <row r="2498">
      <c r="A2498" s="0" t="s">
        <v>4502</v>
      </c>
      <c r="B2498" s="0" t="s">
        <v>4503</v>
      </c>
      <c r="C2498" s="5">
        <f>=HYPERLINK("https://nusmods.com/modules/MUA2251#timetable","Timetable")</f>
      </c>
      <c r="D2498" s="5"/>
      <c r="E2498" s="5">
        <f>=HYPERLINK("https://luminus.nus.edu.sg/modules/11dc824b-ee6a-463d-8e9a-2c635f96700f","LumiNUS course site")</f>
      </c>
      <c r="F2498" s="0" t="s">
        <v>2470</v>
      </c>
      <c r="G2498" s="0" t="s">
        <v>2471</v>
      </c>
      <c r="H2498" s="3">
        <v>13</v>
      </c>
    </row>
    <row r="2499">
      <c r="A2499" s="0" t="s">
        <v>4504</v>
      </c>
      <c r="B2499" s="0" t="s">
        <v>4505</v>
      </c>
      <c r="C2499" s="5">
        <f>=HYPERLINK("https://nusmods.com/modules/MUA2255#timetable","Timetable")</f>
      </c>
      <c r="D2499" s="5"/>
      <c r="E2499" s="5"/>
      <c r="F2499" s="0" t="s">
        <v>2470</v>
      </c>
      <c r="G2499" s="0" t="s">
        <v>2471</v>
      </c>
      <c r="H2499" s="3">
        <v>9</v>
      </c>
    </row>
    <row r="2500">
      <c r="A2500" s="0" t="s">
        <v>4506</v>
      </c>
      <c r="B2500" s="0" t="s">
        <v>4507</v>
      </c>
      <c r="C2500" s="5">
        <f>=HYPERLINK("https://nusmods.com/modules/MUA2256#timetable","Timetable")</f>
      </c>
      <c r="D2500" s="5"/>
      <c r="E2500" s="5"/>
      <c r="F2500" s="0" t="s">
        <v>2470</v>
      </c>
      <c r="G2500" s="0" t="s">
        <v>2471</v>
      </c>
      <c r="H2500" s="3">
        <v>0</v>
      </c>
    </row>
    <row r="2501">
      <c r="A2501" s="0" t="s">
        <v>4508</v>
      </c>
      <c r="B2501" s="0" t="s">
        <v>4509</v>
      </c>
      <c r="C2501" s="5">
        <f>=HYPERLINK("https://nusmods.com/modules/MUA2266#timetable","Timetable")</f>
      </c>
      <c r="D2501" s="5"/>
      <c r="E2501" s="5"/>
      <c r="F2501" s="0" t="s">
        <v>2470</v>
      </c>
      <c r="G2501" s="0" t="s">
        <v>2471</v>
      </c>
      <c r="H2501" s="3">
        <v>0</v>
      </c>
    </row>
    <row r="2502">
      <c r="A2502" s="0" t="s">
        <v>4510</v>
      </c>
      <c r="B2502" s="0" t="s">
        <v>4511</v>
      </c>
      <c r="C2502" s="5">
        <f>=HYPERLINK("https://nusmods.com/modules/MUA2271#timetable","Timetable")</f>
      </c>
      <c r="D2502" s="5"/>
      <c r="E2502" s="5">
        <f>=HYPERLINK("https://luminus.nus.edu.sg/modules/134885da-00d6-4fa5-91ec-259105482fdc","LumiNUS course site")</f>
      </c>
      <c r="F2502" s="0" t="s">
        <v>2470</v>
      </c>
      <c r="G2502" s="0" t="s">
        <v>2471</v>
      </c>
      <c r="H2502" s="3">
        <v>15</v>
      </c>
    </row>
    <row r="2503">
      <c r="A2503" s="0" t="s">
        <v>4512</v>
      </c>
      <c r="B2503" s="0" t="s">
        <v>4513</v>
      </c>
      <c r="C2503" s="5">
        <f>=HYPERLINK("https://nusmods.com/modules/MUA3101#timetable","Timetable")</f>
      </c>
      <c r="D2503" s="5"/>
      <c r="E2503" s="5"/>
      <c r="F2503" s="0" t="s">
        <v>2470</v>
      </c>
      <c r="G2503" s="0" t="s">
        <v>2471</v>
      </c>
      <c r="H2503" s="3">
        <v>1</v>
      </c>
    </row>
    <row r="2504">
      <c r="A2504" s="0" t="s">
        <v>4514</v>
      </c>
      <c r="B2504" s="0" t="s">
        <v>4515</v>
      </c>
      <c r="C2504" s="5">
        <f>=HYPERLINK("https://nusmods.com/modules/MUA3102#timetable","Timetable")</f>
      </c>
      <c r="D2504" s="5"/>
      <c r="E2504" s="5"/>
      <c r="F2504" s="0" t="s">
        <v>2470</v>
      </c>
      <c r="G2504" s="0" t="s">
        <v>2471</v>
      </c>
      <c r="H2504" s="3">
        <v>0</v>
      </c>
    </row>
    <row r="2505">
      <c r="A2505" s="0" t="s">
        <v>4516</v>
      </c>
      <c r="B2505" s="0" t="s">
        <v>4517</v>
      </c>
      <c r="C2505" s="5">
        <f>=HYPERLINK("https://nusmods.com/modules/MUA3105#timetable","Timetable")</f>
      </c>
      <c r="D2505" s="5">
        <f>=HYPERLINK("https://canvas.nus.edu.sg/courses/25914","Canvas course site")</f>
      </c>
      <c r="E2505" s="5"/>
      <c r="F2505" s="0" t="s">
        <v>2470</v>
      </c>
      <c r="G2505" s="0" t="s">
        <v>2471</v>
      </c>
      <c r="H2505" s="3">
        <v>9</v>
      </c>
    </row>
    <row r="2506">
      <c r="A2506" s="0" t="s">
        <v>4518</v>
      </c>
      <c r="B2506" s="0" t="s">
        <v>4519</v>
      </c>
      <c r="C2506" s="5">
        <f>=HYPERLINK("https://nusmods.com/modules/MUA3107#timetable","Timetable")</f>
      </c>
      <c r="D2506" s="5"/>
      <c r="E2506" s="5"/>
      <c r="F2506" s="0" t="s">
        <v>2470</v>
      </c>
      <c r="G2506" s="0" t="s">
        <v>2471</v>
      </c>
      <c r="H2506" s="3">
        <v>32</v>
      </c>
    </row>
    <row r="2507">
      <c r="A2507" s="0" t="s">
        <v>4520</v>
      </c>
      <c r="B2507" s="0" t="s">
        <v>4521</v>
      </c>
      <c r="C2507" s="5">
        <f>=HYPERLINK("https://nusmods.com/modules/MUA3108#timetable","Timetable")</f>
      </c>
      <c r="D2507" s="5"/>
      <c r="E2507" s="5"/>
      <c r="F2507" s="0" t="s">
        <v>2470</v>
      </c>
      <c r="G2507" s="0" t="s">
        <v>2471</v>
      </c>
      <c r="H2507" s="3">
        <v>6</v>
      </c>
    </row>
    <row r="2508">
      <c r="A2508" s="0" t="s">
        <v>4522</v>
      </c>
      <c r="B2508" s="0" t="s">
        <v>4461</v>
      </c>
      <c r="C2508" s="5">
        <f>=HYPERLINK("https://nusmods.com/modules/MUA3109#timetable","Timetable")</f>
      </c>
      <c r="D2508" s="5"/>
      <c r="E2508" s="5"/>
      <c r="F2508" s="0" t="s">
        <v>2470</v>
      </c>
      <c r="G2508" s="0" t="s">
        <v>2471</v>
      </c>
      <c r="H2508" s="3">
        <v>10</v>
      </c>
    </row>
    <row r="2509">
      <c r="A2509" s="0" t="s">
        <v>4523</v>
      </c>
      <c r="B2509" s="0" t="s">
        <v>4463</v>
      </c>
      <c r="C2509" s="5">
        <f>=HYPERLINK("https://nusmods.com/modules/MUA3110#timetable","Timetable")</f>
      </c>
      <c r="D2509" s="5"/>
      <c r="E2509" s="5"/>
      <c r="F2509" s="0" t="s">
        <v>2470</v>
      </c>
      <c r="G2509" s="0" t="s">
        <v>2471</v>
      </c>
      <c r="H2509" s="3">
        <v>7</v>
      </c>
    </row>
    <row r="2510">
      <c r="A2510" s="0" t="s">
        <v>4524</v>
      </c>
      <c r="B2510" s="0" t="s">
        <v>4525</v>
      </c>
      <c r="C2510" s="5">
        <f>=HYPERLINK("https://nusmods.com/modules/MUA3113#timetable","Timetable")</f>
      </c>
      <c r="D2510" s="5"/>
      <c r="E2510" s="5">
        <f>=HYPERLINK("https://luminus.nus.edu.sg/modules/7f225fec-edee-4dea-af8b-7d7f73648600","LumiNUS course site")</f>
      </c>
      <c r="F2510" s="0" t="s">
        <v>2470</v>
      </c>
      <c r="G2510" s="0" t="s">
        <v>2471</v>
      </c>
      <c r="H2510" s="3">
        <v>5</v>
      </c>
    </row>
    <row r="2511">
      <c r="A2511" s="0" t="s">
        <v>4526</v>
      </c>
      <c r="B2511" s="0" t="s">
        <v>4527</v>
      </c>
      <c r="C2511" s="5">
        <f>=HYPERLINK("https://nusmods.com/modules/MUA3117#timetable","Timetable")</f>
      </c>
      <c r="D2511" s="5"/>
      <c r="E2511" s="5">
        <f>=HYPERLINK("https://luminus.nus.edu.sg/modules/e692122a-1a75-49ea-9af5-57e3a4266583","LumiNUS course site")</f>
      </c>
      <c r="F2511" s="0" t="s">
        <v>2470</v>
      </c>
      <c r="G2511" s="0" t="s">
        <v>2471</v>
      </c>
      <c r="H2511" s="3">
        <v>26</v>
      </c>
    </row>
    <row r="2512">
      <c r="A2512" s="0" t="s">
        <v>4528</v>
      </c>
      <c r="B2512" s="0" t="s">
        <v>4529</v>
      </c>
      <c r="C2512" s="5">
        <f>=HYPERLINK("https://nusmods.com/modules/MUA3153#timetable","Timetable")</f>
      </c>
      <c r="D2512" s="5"/>
      <c r="E2512" s="5"/>
      <c r="F2512" s="0" t="s">
        <v>2470</v>
      </c>
      <c r="G2512" s="0" t="s">
        <v>2471</v>
      </c>
      <c r="H2512" s="3">
        <v>52</v>
      </c>
    </row>
    <row r="2513">
      <c r="A2513" s="0" t="s">
        <v>4530</v>
      </c>
      <c r="B2513" s="0" t="s">
        <v>4531</v>
      </c>
      <c r="C2513" s="5">
        <f>=HYPERLINK("https://nusmods.com/modules/MUA3154#timetable","Timetable")</f>
      </c>
      <c r="D2513" s="5"/>
      <c r="E2513" s="5"/>
      <c r="F2513" s="0" t="s">
        <v>2470</v>
      </c>
      <c r="G2513" s="0" t="s">
        <v>2471</v>
      </c>
      <c r="H2513" s="3">
        <v>4</v>
      </c>
    </row>
    <row r="2514">
      <c r="A2514" s="0" t="s">
        <v>4532</v>
      </c>
      <c r="B2514" s="0" t="s">
        <v>4533</v>
      </c>
      <c r="C2514" s="5">
        <f>=HYPERLINK("https://nusmods.com/modules/MUA3161#timetable","Timetable")</f>
      </c>
      <c r="D2514" s="5"/>
      <c r="E2514" s="5"/>
      <c r="F2514" s="0" t="s">
        <v>2470</v>
      </c>
      <c r="G2514" s="0" t="s">
        <v>2471</v>
      </c>
      <c r="H2514" s="3">
        <v>40</v>
      </c>
    </row>
    <row r="2515">
      <c r="A2515" s="0" t="s">
        <v>4534</v>
      </c>
      <c r="B2515" s="0" t="s">
        <v>4535</v>
      </c>
      <c r="C2515" s="5">
        <f>=HYPERLINK("https://nusmods.com/modules/MUA3162#timetable","Timetable")</f>
      </c>
      <c r="D2515" s="5"/>
      <c r="E2515" s="5"/>
      <c r="F2515" s="0" t="s">
        <v>2470</v>
      </c>
      <c r="G2515" s="0" t="s">
        <v>2471</v>
      </c>
      <c r="H2515" s="3">
        <v>2</v>
      </c>
    </row>
    <row r="2516">
      <c r="A2516" s="0" t="s">
        <v>4536</v>
      </c>
      <c r="B2516" s="0" t="s">
        <v>4537</v>
      </c>
      <c r="C2516" s="5">
        <f>=HYPERLINK("https://nusmods.com/modules/MUA3163#timetable","Timetable")</f>
      </c>
      <c r="D2516" s="5">
        <f>=HYPERLINK("https://canvas.nus.edu.sg/courses/25968","Canvas course site")</f>
      </c>
      <c r="E2516" s="5"/>
      <c r="F2516" s="0" t="s">
        <v>2470</v>
      </c>
      <c r="G2516" s="0" t="s">
        <v>2471</v>
      </c>
      <c r="H2516" s="3">
        <v>23</v>
      </c>
    </row>
    <row r="2517">
      <c r="A2517" s="0" t="s">
        <v>4538</v>
      </c>
      <c r="B2517" s="0" t="s">
        <v>4539</v>
      </c>
      <c r="C2517" s="5">
        <f>=HYPERLINK("https://nusmods.com/modules/MUA3168#timetable","Timetable")</f>
      </c>
      <c r="D2517" s="5"/>
      <c r="E2517" s="5"/>
      <c r="F2517" s="0" t="s">
        <v>2470</v>
      </c>
      <c r="G2517" s="0" t="s">
        <v>2471</v>
      </c>
      <c r="H2517" s="3">
        <v>3</v>
      </c>
    </row>
    <row r="2518">
      <c r="A2518" s="0" t="s">
        <v>4540</v>
      </c>
      <c r="B2518" s="0" t="s">
        <v>4541</v>
      </c>
      <c r="C2518" s="5">
        <f>=HYPERLINK("https://nusmods.com/modules/MUA3170#timetable","Timetable")</f>
      </c>
      <c r="D2518" s="5"/>
      <c r="E2518" s="5"/>
      <c r="F2518" s="0" t="s">
        <v>2470</v>
      </c>
      <c r="G2518" s="0" t="s">
        <v>2471</v>
      </c>
      <c r="H2518" s="3">
        <v>6</v>
      </c>
    </row>
    <row r="2519">
      <c r="A2519" s="0" t="s">
        <v>4542</v>
      </c>
      <c r="B2519" s="0" t="s">
        <v>4543</v>
      </c>
      <c r="C2519" s="5">
        <f>=HYPERLINK("https://nusmods.com/modules/MUA3177#timetable","Timetable")</f>
      </c>
      <c r="D2519" s="5">
        <f>=HYPERLINK("https://canvas.nus.edu.sg/courses/25982","Canvas course site")</f>
      </c>
      <c r="E2519" s="5"/>
      <c r="F2519" s="0" t="s">
        <v>2470</v>
      </c>
      <c r="G2519" s="0" t="s">
        <v>2471</v>
      </c>
      <c r="H2519" s="3">
        <v>7</v>
      </c>
    </row>
    <row r="2520">
      <c r="A2520" s="0" t="s">
        <v>4544</v>
      </c>
      <c r="B2520" s="0" t="s">
        <v>4545</v>
      </c>
      <c r="C2520" s="5">
        <f>=HYPERLINK("https://nusmods.com/modules/MUA3178#timetable","Timetable")</f>
      </c>
      <c r="D2520" s="5"/>
      <c r="E2520" s="5"/>
      <c r="F2520" s="0" t="s">
        <v>2470</v>
      </c>
      <c r="G2520" s="0" t="s">
        <v>2471</v>
      </c>
      <c r="H2520" s="3">
        <v>5</v>
      </c>
    </row>
    <row r="2521">
      <c r="A2521" s="0" t="s">
        <v>4546</v>
      </c>
      <c r="B2521" s="0" t="s">
        <v>4547</v>
      </c>
      <c r="C2521" s="5">
        <f>=HYPERLINK("https://nusmods.com/modules/MUA3179#timetable","Timetable")</f>
      </c>
      <c r="D2521" s="5"/>
      <c r="E2521" s="5"/>
      <c r="F2521" s="0" t="s">
        <v>2470</v>
      </c>
      <c r="G2521" s="0" t="s">
        <v>2471</v>
      </c>
      <c r="H2521" s="3">
        <v>2</v>
      </c>
    </row>
    <row r="2522">
      <c r="A2522" s="0" t="s">
        <v>4548</v>
      </c>
      <c r="B2522" s="0" t="s">
        <v>4549</v>
      </c>
      <c r="C2522" s="5">
        <f>=HYPERLINK("https://nusmods.com/modules/MUA3181#timetable","Timetable")</f>
      </c>
      <c r="D2522" s="5"/>
      <c r="E2522" s="5"/>
      <c r="F2522" s="0" t="s">
        <v>2470</v>
      </c>
      <c r="G2522" s="0" t="s">
        <v>2471</v>
      </c>
      <c r="H2522" s="3">
        <v>38</v>
      </c>
    </row>
    <row r="2523">
      <c r="A2523" s="0" t="s">
        <v>4550</v>
      </c>
      <c r="B2523" s="0" t="s">
        <v>4551</v>
      </c>
      <c r="C2523" s="5">
        <f>=HYPERLINK("https://nusmods.com/modules/MUA3188#timetable","Timetable")</f>
      </c>
      <c r="D2523" s="5"/>
      <c r="E2523" s="5"/>
      <c r="F2523" s="0" t="s">
        <v>2470</v>
      </c>
      <c r="G2523" s="0" t="s">
        <v>2471</v>
      </c>
      <c r="H2523" s="3">
        <v>4</v>
      </c>
    </row>
    <row r="2524">
      <c r="A2524" s="0" t="s">
        <v>4552</v>
      </c>
      <c r="B2524" s="0" t="s">
        <v>4553</v>
      </c>
      <c r="C2524" s="5">
        <f>=HYPERLINK("https://nusmods.com/modules/MUA3190#timetable","Timetable")</f>
      </c>
      <c r="D2524" s="5"/>
      <c r="E2524" s="5"/>
      <c r="F2524" s="0" t="s">
        <v>2470</v>
      </c>
      <c r="G2524" s="0" t="s">
        <v>2471</v>
      </c>
      <c r="H2524" s="3">
        <v>0</v>
      </c>
    </row>
    <row r="2525">
      <c r="A2525" s="0" t="s">
        <v>4554</v>
      </c>
      <c r="B2525" s="0" t="s">
        <v>4555</v>
      </c>
      <c r="C2525" s="5">
        <f>=HYPERLINK("https://nusmods.com/modules/MUA3191#timetable","Timetable")</f>
      </c>
      <c r="D2525" s="5"/>
      <c r="E2525" s="5"/>
      <c r="F2525" s="0" t="s">
        <v>2470</v>
      </c>
      <c r="G2525" s="0" t="s">
        <v>2471</v>
      </c>
      <c r="H2525" s="3">
        <v>4</v>
      </c>
    </row>
    <row r="2526">
      <c r="A2526" s="0" t="s">
        <v>4556</v>
      </c>
      <c r="B2526" s="0" t="s">
        <v>4557</v>
      </c>
      <c r="C2526" s="5">
        <f>=HYPERLINK("https://nusmods.com/modules/MUA3194#timetable","Timetable")</f>
      </c>
      <c r="D2526" s="5"/>
      <c r="E2526" s="5"/>
      <c r="F2526" s="0" t="s">
        <v>2470</v>
      </c>
      <c r="G2526" s="0" t="s">
        <v>2471</v>
      </c>
      <c r="H2526" s="3">
        <v>4</v>
      </c>
    </row>
    <row r="2527">
      <c r="A2527" s="0" t="s">
        <v>4558</v>
      </c>
      <c r="B2527" s="0" t="s">
        <v>4559</v>
      </c>
      <c r="C2527" s="5">
        <f>=HYPERLINK("https://nusmods.com/modules/MUA3201#timetable","Timetable")</f>
      </c>
      <c r="D2527" s="5"/>
      <c r="E2527" s="5">
        <f>=HYPERLINK("https://luminus.nus.edu.sg/modules/25a8bc8c-fe18-4c84-ab77-dbf03eda6d76","LumiNUS course site")</f>
      </c>
      <c r="F2527" s="0" t="s">
        <v>2470</v>
      </c>
      <c r="G2527" s="0" t="s">
        <v>2471</v>
      </c>
      <c r="H2527" s="3">
        <v>4</v>
      </c>
    </row>
    <row r="2528">
      <c r="A2528" s="0" t="s">
        <v>4560</v>
      </c>
      <c r="B2528" s="0" t="s">
        <v>4559</v>
      </c>
      <c r="C2528" s="5">
        <f>=HYPERLINK("https://nusmods.com/modules/MUA3202#timetable","Timetable")</f>
      </c>
      <c r="D2528" s="5"/>
      <c r="E2528" s="5">
        <f>=HYPERLINK("https://luminus.nus.edu.sg/modules/176d02c6-614a-4d65-b12b-0d460663e92a","LumiNUS course site")</f>
      </c>
      <c r="F2528" s="0" t="s">
        <v>2470</v>
      </c>
      <c r="G2528" s="0" t="s">
        <v>2471</v>
      </c>
      <c r="H2528" s="3">
        <v>0</v>
      </c>
    </row>
    <row r="2529">
      <c r="A2529" s="0" t="s">
        <v>4561</v>
      </c>
      <c r="B2529" s="0" t="s">
        <v>4562</v>
      </c>
      <c r="C2529" s="5">
        <f>=HYPERLINK("https://nusmods.com/modules/MUA3204#timetable","Timetable")</f>
      </c>
      <c r="D2529" s="5"/>
      <c r="E2529" s="5">
        <f>=HYPERLINK("https://luminus.nus.edu.sg/modules/6bb6d024-98f8-4256-af71-3ff46af9a42f","LumiNUS course site")</f>
      </c>
      <c r="F2529" s="0" t="s">
        <v>2470</v>
      </c>
      <c r="G2529" s="0" t="s">
        <v>2471</v>
      </c>
      <c r="H2529" s="3">
        <v>0</v>
      </c>
    </row>
    <row r="2530">
      <c r="A2530" s="0" t="s">
        <v>4563</v>
      </c>
      <c r="B2530" s="0" t="s">
        <v>4564</v>
      </c>
      <c r="C2530" s="5">
        <f>=HYPERLINK("https://nusmods.com/modules/MUA3205#timetable","Timetable")</f>
      </c>
      <c r="D2530" s="5"/>
      <c r="E2530" s="5">
        <f>=HYPERLINK("https://luminus.nus.edu.sg/modules/23e6c35b-a265-4723-8352-1f2ad40402aa","LumiNUS course site")</f>
      </c>
      <c r="F2530" s="0" t="s">
        <v>2470</v>
      </c>
      <c r="G2530" s="0" t="s">
        <v>2471</v>
      </c>
      <c r="H2530" s="3">
        <v>15</v>
      </c>
    </row>
    <row r="2531">
      <c r="A2531" s="0" t="s">
        <v>4565</v>
      </c>
      <c r="B2531" s="0" t="s">
        <v>4566</v>
      </c>
      <c r="C2531" s="5">
        <f>=HYPERLINK("https://nusmods.com/modules/MUA3206#timetable","Timetable")</f>
      </c>
      <c r="D2531" s="5"/>
      <c r="E2531" s="5">
        <f>=HYPERLINK("https://luminus.nus.edu.sg/modules/17198024-a90a-4d0a-98d9-9ce4f86c0a94","LumiNUS course site")</f>
      </c>
      <c r="F2531" s="0" t="s">
        <v>2470</v>
      </c>
      <c r="G2531" s="0" t="s">
        <v>2471</v>
      </c>
      <c r="H2531" s="3">
        <v>0</v>
      </c>
    </row>
    <row r="2532">
      <c r="A2532" s="0" t="s">
        <v>4567</v>
      </c>
      <c r="B2532" s="0" t="s">
        <v>4568</v>
      </c>
      <c r="C2532" s="5">
        <f>=HYPERLINK("https://nusmods.com/modules/MUA3208#timetable","Timetable")</f>
      </c>
      <c r="D2532" s="5">
        <f>=HYPERLINK("https://canvas.nus.edu.sg/courses/26645","Canvas course site")</f>
      </c>
      <c r="E2532" s="5"/>
      <c r="F2532" s="0" t="s">
        <v>2470</v>
      </c>
      <c r="G2532" s="0" t="s">
        <v>2471</v>
      </c>
      <c r="H2532" s="3">
        <v>4</v>
      </c>
    </row>
    <row r="2533">
      <c r="A2533" s="0" t="s">
        <v>4569</v>
      </c>
      <c r="B2533" s="0" t="s">
        <v>4570</v>
      </c>
      <c r="C2533" s="5">
        <f>=HYPERLINK("https://nusmods.com/modules/MUA3213#timetable","Timetable")</f>
      </c>
      <c r="D2533" s="5"/>
      <c r="E2533" s="5">
        <f>=HYPERLINK("https://luminus.nus.edu.sg/modules/837ba8a5-c7db-4f40-96e3-03dc11a23f6b","LumiNUS course site")</f>
      </c>
      <c r="F2533" s="0" t="s">
        <v>2470</v>
      </c>
      <c r="G2533" s="0" t="s">
        <v>2471</v>
      </c>
      <c r="H2533" s="3">
        <v>10</v>
      </c>
    </row>
    <row r="2534">
      <c r="A2534" s="0" t="s">
        <v>4571</v>
      </c>
      <c r="B2534" s="0" t="s">
        <v>4572</v>
      </c>
      <c r="C2534" s="5">
        <f>=HYPERLINK("https://nusmods.com/modules/MUA3216#timetable","Timetable")</f>
      </c>
      <c r="D2534" s="5"/>
      <c r="E2534" s="5"/>
      <c r="F2534" s="0" t="s">
        <v>2470</v>
      </c>
      <c r="G2534" s="0" t="s">
        <v>2471</v>
      </c>
      <c r="H2534" s="3">
        <v>0</v>
      </c>
    </row>
    <row r="2535">
      <c r="A2535" s="0" t="s">
        <v>4573</v>
      </c>
      <c r="B2535" s="0" t="s">
        <v>4574</v>
      </c>
      <c r="C2535" s="5">
        <f>=HYPERLINK("https://nusmods.com/modules/MUA3219#timetable","Timetable")</f>
      </c>
      <c r="D2535" s="5">
        <f>=HYPERLINK("https://canvas.nus.edu.sg/courses/26646","Canvas course site")</f>
      </c>
      <c r="E2535" s="5"/>
      <c r="F2535" s="0" t="s">
        <v>2470</v>
      </c>
      <c r="G2535" s="0" t="s">
        <v>2471</v>
      </c>
      <c r="H2535" s="3">
        <v>10</v>
      </c>
    </row>
    <row r="2536">
      <c r="A2536" s="0" t="s">
        <v>4575</v>
      </c>
      <c r="B2536" s="0" t="s">
        <v>4574</v>
      </c>
      <c r="C2536" s="5">
        <f>=HYPERLINK("https://nusmods.com/modules/MUA3220#timetable","Timetable")</f>
      </c>
      <c r="D2536" s="5">
        <f>=HYPERLINK("https://canvas.nus.edu.sg/courses/26646","Canvas course site")</f>
      </c>
      <c r="E2536" s="5"/>
      <c r="F2536" s="0" t="s">
        <v>2470</v>
      </c>
      <c r="G2536" s="0" t="s">
        <v>2471</v>
      </c>
      <c r="H2536" s="3">
        <v>1</v>
      </c>
    </row>
    <row r="2537">
      <c r="A2537" s="0" t="s">
        <v>4576</v>
      </c>
      <c r="B2537" s="0" t="s">
        <v>4577</v>
      </c>
      <c r="C2537" s="5">
        <f>=HYPERLINK("https://nusmods.com/modules/MUA3221#timetable","Timetable")</f>
      </c>
      <c r="D2537" s="5"/>
      <c r="E2537" s="5"/>
      <c r="F2537" s="0" t="s">
        <v>2470</v>
      </c>
      <c r="G2537" s="0" t="s">
        <v>2471</v>
      </c>
      <c r="H2537" s="3">
        <v>2</v>
      </c>
    </row>
    <row r="2538">
      <c r="A2538" s="0" t="s">
        <v>4578</v>
      </c>
      <c r="B2538" s="0" t="s">
        <v>4579</v>
      </c>
      <c r="C2538" s="5">
        <f>=HYPERLINK("https://nusmods.com/modules/MUA3224#timetable","Timetable")</f>
      </c>
      <c r="D2538" s="5"/>
      <c r="E2538" s="5">
        <f>=HYPERLINK("https://luminus.nus.edu.sg/modules/01bc62a1-aad7-41f6-910e-3007c59f2b26","LumiNUS course site")</f>
      </c>
      <c r="F2538" s="0" t="s">
        <v>2470</v>
      </c>
      <c r="G2538" s="0" t="s">
        <v>2471</v>
      </c>
      <c r="H2538" s="3">
        <v>10</v>
      </c>
    </row>
    <row r="2539">
      <c r="A2539" s="0" t="s">
        <v>4580</v>
      </c>
      <c r="B2539" s="0" t="s">
        <v>4581</v>
      </c>
      <c r="C2539" s="5">
        <f>=HYPERLINK("https://nusmods.com/modules/MUA3226#timetable","Timetable")</f>
      </c>
      <c r="D2539" s="5"/>
      <c r="E2539" s="5"/>
      <c r="F2539" s="0" t="s">
        <v>2470</v>
      </c>
      <c r="G2539" s="0" t="s">
        <v>2471</v>
      </c>
      <c r="H2539" s="3">
        <v>0</v>
      </c>
    </row>
    <row r="2540">
      <c r="A2540" s="0" t="s">
        <v>4582</v>
      </c>
      <c r="B2540" s="0" t="s">
        <v>4583</v>
      </c>
      <c r="C2540" s="5">
        <f>=HYPERLINK("https://nusmods.com/modules/MUA3227#timetable","Timetable")</f>
      </c>
      <c r="D2540" s="5"/>
      <c r="E2540" s="5"/>
      <c r="F2540" s="0" t="s">
        <v>2470</v>
      </c>
      <c r="G2540" s="0" t="s">
        <v>2471</v>
      </c>
      <c r="H2540" s="3">
        <v>0</v>
      </c>
    </row>
    <row r="2541">
      <c r="A2541" s="0" t="s">
        <v>4584</v>
      </c>
      <c r="B2541" s="0" t="s">
        <v>4585</v>
      </c>
      <c r="C2541" s="5">
        <f>=HYPERLINK("https://nusmods.com/modules/MUA3228#timetable","Timetable")</f>
      </c>
      <c r="D2541" s="5">
        <f>=HYPERLINK("https://canvas.nus.edu.sg/courses/26050","Canvas course site")</f>
      </c>
      <c r="E2541" s="5"/>
      <c r="F2541" s="0" t="s">
        <v>2470</v>
      </c>
      <c r="G2541" s="0" t="s">
        <v>2471</v>
      </c>
      <c r="H2541" s="3">
        <v>6</v>
      </c>
    </row>
    <row r="2542">
      <c r="A2542" s="0" t="s">
        <v>4586</v>
      </c>
      <c r="B2542" s="0" t="s">
        <v>4587</v>
      </c>
      <c r="C2542" s="5">
        <f>=HYPERLINK("https://nusmods.com/modules/MUA3230#timetable","Timetable")</f>
      </c>
      <c r="D2542" s="5">
        <f>=HYPERLINK("https://canvas.nus.edu.sg/courses/26053","Canvas course site")</f>
      </c>
      <c r="E2542" s="5"/>
      <c r="F2542" s="0" t="s">
        <v>2470</v>
      </c>
      <c r="G2542" s="0" t="s">
        <v>2471</v>
      </c>
      <c r="H2542" s="3">
        <v>8</v>
      </c>
    </row>
    <row r="2543">
      <c r="A2543" s="0" t="s">
        <v>4588</v>
      </c>
      <c r="B2543" s="0" t="s">
        <v>4495</v>
      </c>
      <c r="C2543" s="5">
        <f>=HYPERLINK("https://nusmods.com/modules/MUA3240#timetable","Timetable")</f>
      </c>
      <c r="D2543" s="5"/>
      <c r="E2543" s="5"/>
      <c r="F2543" s="0" t="s">
        <v>2470</v>
      </c>
      <c r="G2543" s="0" t="s">
        <v>2471</v>
      </c>
      <c r="H2543" s="3">
        <v>1</v>
      </c>
    </row>
    <row r="2544">
      <c r="A2544" s="0" t="s">
        <v>4589</v>
      </c>
      <c r="B2544" s="0" t="s">
        <v>4497</v>
      </c>
      <c r="C2544" s="5">
        <f>=HYPERLINK("https://nusmods.com/modules/MUA3241#timetable","Timetable")</f>
      </c>
      <c r="D2544" s="5"/>
      <c r="E2544" s="5"/>
      <c r="F2544" s="0" t="s">
        <v>2470</v>
      </c>
      <c r="G2544" s="0" t="s">
        <v>2471</v>
      </c>
      <c r="H2544" s="3">
        <v>2</v>
      </c>
    </row>
    <row r="2545">
      <c r="A2545" s="0" t="s">
        <v>4590</v>
      </c>
      <c r="B2545" s="0" t="s">
        <v>4499</v>
      </c>
      <c r="C2545" s="5">
        <f>=HYPERLINK("https://nusmods.com/modules/MUA3242#timetable","Timetable")</f>
      </c>
      <c r="D2545" s="5"/>
      <c r="E2545" s="5"/>
      <c r="F2545" s="0" t="s">
        <v>2470</v>
      </c>
      <c r="G2545" s="0" t="s">
        <v>2471</v>
      </c>
      <c r="H2545" s="3">
        <v>2</v>
      </c>
    </row>
    <row r="2546">
      <c r="A2546" s="0" t="s">
        <v>4591</v>
      </c>
      <c r="B2546" s="0" t="s">
        <v>4501</v>
      </c>
      <c r="C2546" s="5">
        <f>=HYPERLINK("https://nusmods.com/modules/MUA3243#timetable","Timetable")</f>
      </c>
      <c r="D2546" s="5"/>
      <c r="E2546" s="5"/>
      <c r="F2546" s="0" t="s">
        <v>2470</v>
      </c>
      <c r="G2546" s="0" t="s">
        <v>2471</v>
      </c>
      <c r="H2546" s="3">
        <v>3</v>
      </c>
    </row>
    <row r="2547">
      <c r="A2547" s="0" t="s">
        <v>4592</v>
      </c>
      <c r="B2547" s="0" t="s">
        <v>4593</v>
      </c>
      <c r="C2547" s="5">
        <f>=HYPERLINK("https://nusmods.com/modules/MUA3255#timetable","Timetable")</f>
      </c>
      <c r="D2547" s="5"/>
      <c r="E2547" s="5"/>
      <c r="F2547" s="0" t="s">
        <v>2470</v>
      </c>
      <c r="G2547" s="0" t="s">
        <v>2471</v>
      </c>
      <c r="H2547" s="3">
        <v>7</v>
      </c>
    </row>
    <row r="2548">
      <c r="A2548" s="0" t="s">
        <v>4594</v>
      </c>
      <c r="B2548" s="0" t="s">
        <v>4595</v>
      </c>
      <c r="C2548" s="5">
        <f>=HYPERLINK("https://nusmods.com/modules/MUA3256#timetable","Timetable")</f>
      </c>
      <c r="D2548" s="5"/>
      <c r="E2548" s="5"/>
      <c r="F2548" s="0" t="s">
        <v>2470</v>
      </c>
      <c r="G2548" s="0" t="s">
        <v>2471</v>
      </c>
      <c r="H2548" s="3">
        <v>1</v>
      </c>
    </row>
    <row r="2549">
      <c r="A2549" s="0" t="s">
        <v>4596</v>
      </c>
      <c r="B2549" s="0" t="s">
        <v>4597</v>
      </c>
      <c r="C2549" s="5">
        <f>=HYPERLINK("https://nusmods.com/modules/MUA3260#timetable","Timetable")</f>
      </c>
      <c r="D2549" s="5"/>
      <c r="E2549" s="5"/>
      <c r="F2549" s="0" t="s">
        <v>2470</v>
      </c>
      <c r="G2549" s="0" t="s">
        <v>2471</v>
      </c>
      <c r="H2549" s="3">
        <v>1</v>
      </c>
    </row>
    <row r="2550">
      <c r="A2550" s="0" t="s">
        <v>4598</v>
      </c>
      <c r="B2550" s="0" t="s">
        <v>4599</v>
      </c>
      <c r="C2550" s="5">
        <f>=HYPERLINK("https://nusmods.com/modules/MUA3261#timetable","Timetable")</f>
      </c>
      <c r="D2550" s="5"/>
      <c r="E2550" s="5"/>
      <c r="F2550" s="0" t="s">
        <v>2470</v>
      </c>
      <c r="G2550" s="0" t="s">
        <v>2471</v>
      </c>
      <c r="H2550" s="3">
        <v>4</v>
      </c>
    </row>
    <row r="2551">
      <c r="A2551" s="0" t="s">
        <v>4600</v>
      </c>
      <c r="B2551" s="0" t="s">
        <v>4601</v>
      </c>
      <c r="C2551" s="5">
        <f>=HYPERLINK("https://nusmods.com/modules/MUA3263#timetable","Timetable")</f>
      </c>
      <c r="D2551" s="5"/>
      <c r="E2551" s="5"/>
      <c r="F2551" s="0" t="s">
        <v>2470</v>
      </c>
      <c r="G2551" s="0" t="s">
        <v>2471</v>
      </c>
      <c r="H2551" s="3">
        <v>1</v>
      </c>
    </row>
    <row r="2552">
      <c r="A2552" s="0" t="s">
        <v>4602</v>
      </c>
      <c r="B2552" s="0" t="s">
        <v>4603</v>
      </c>
      <c r="C2552" s="5">
        <f>=HYPERLINK("https://nusmods.com/modules/MUA3264#timetable","Timetable")</f>
      </c>
      <c r="D2552" s="5"/>
      <c r="E2552" s="5"/>
      <c r="F2552" s="0" t="s">
        <v>2470</v>
      </c>
      <c r="G2552" s="0" t="s">
        <v>2471</v>
      </c>
      <c r="H2552" s="3">
        <v>1</v>
      </c>
    </row>
    <row r="2553">
      <c r="A2553" s="0" t="s">
        <v>4604</v>
      </c>
      <c r="B2553" s="0" t="s">
        <v>4605</v>
      </c>
      <c r="C2553" s="5">
        <f>=HYPERLINK("https://nusmods.com/modules/MUA3265#timetable","Timetable")</f>
      </c>
      <c r="D2553" s="5"/>
      <c r="E2553" s="5"/>
      <c r="F2553" s="0" t="s">
        <v>2470</v>
      </c>
      <c r="G2553" s="0" t="s">
        <v>2471</v>
      </c>
      <c r="H2553" s="3">
        <v>0</v>
      </c>
    </row>
    <row r="2554">
      <c r="A2554" s="0" t="s">
        <v>4606</v>
      </c>
      <c r="B2554" s="0" t="s">
        <v>4509</v>
      </c>
      <c r="C2554" s="5">
        <f>=HYPERLINK("https://nusmods.com/modules/MUA3266#timetable","Timetable")</f>
      </c>
      <c r="D2554" s="5"/>
      <c r="E2554" s="5"/>
      <c r="F2554" s="0" t="s">
        <v>2470</v>
      </c>
      <c r="G2554" s="0" t="s">
        <v>2471</v>
      </c>
      <c r="H2554" s="3">
        <v>1</v>
      </c>
    </row>
    <row r="2555">
      <c r="A2555" s="0" t="s">
        <v>4607</v>
      </c>
      <c r="B2555" s="0" t="s">
        <v>4608</v>
      </c>
      <c r="C2555" s="5">
        <f>=HYPERLINK("https://nusmods.com/modules/MUA3271#timetable","Timetable")</f>
      </c>
      <c r="D2555" s="5"/>
      <c r="E2555" s="5"/>
      <c r="F2555" s="0" t="s">
        <v>2470</v>
      </c>
      <c r="G2555" s="0" t="s">
        <v>2471</v>
      </c>
      <c r="H2555" s="3">
        <v>7</v>
      </c>
    </row>
    <row r="2556">
      <c r="A2556" s="0" t="s">
        <v>4609</v>
      </c>
      <c r="B2556" s="0" t="s">
        <v>4610</v>
      </c>
      <c r="C2556" s="5">
        <f>=HYPERLINK("https://nusmods.com/modules/MUA4101#timetable","Timetable")</f>
      </c>
      <c r="D2556" s="5"/>
      <c r="E2556" s="5"/>
      <c r="F2556" s="0" t="s">
        <v>2470</v>
      </c>
      <c r="G2556" s="0" t="s">
        <v>2471</v>
      </c>
      <c r="H2556" s="3">
        <v>3</v>
      </c>
    </row>
    <row r="2557">
      <c r="A2557" s="0" t="s">
        <v>4611</v>
      </c>
      <c r="B2557" s="0" t="s">
        <v>4612</v>
      </c>
      <c r="C2557" s="5">
        <f>=HYPERLINK("https://nusmods.com/modules/MUA4102#timetable","Timetable")</f>
      </c>
      <c r="D2557" s="5"/>
      <c r="E2557" s="5"/>
      <c r="F2557" s="0" t="s">
        <v>2470</v>
      </c>
      <c r="G2557" s="0" t="s">
        <v>2471</v>
      </c>
      <c r="H2557" s="3">
        <v>2</v>
      </c>
    </row>
    <row r="2558">
      <c r="A2558" s="0" t="s">
        <v>4613</v>
      </c>
      <c r="B2558" s="0" t="s">
        <v>4614</v>
      </c>
      <c r="C2558" s="5">
        <f>=HYPERLINK("https://nusmods.com/modules/MUA4107#timetable","Timetable")</f>
      </c>
      <c r="D2558" s="5"/>
      <c r="E2558" s="5"/>
      <c r="F2558" s="0" t="s">
        <v>2470</v>
      </c>
      <c r="G2558" s="0" t="s">
        <v>2471</v>
      </c>
      <c r="H2558" s="3">
        <v>2</v>
      </c>
    </row>
    <row r="2559">
      <c r="A2559" s="0" t="s">
        <v>4615</v>
      </c>
      <c r="B2559" s="0" t="s">
        <v>4616</v>
      </c>
      <c r="C2559" s="5">
        <f>=HYPERLINK("https://nusmods.com/modules/MUA4108#timetable","Timetable")</f>
      </c>
      <c r="D2559" s="5"/>
      <c r="E2559" s="5"/>
      <c r="F2559" s="0" t="s">
        <v>2470</v>
      </c>
      <c r="G2559" s="0" t="s">
        <v>2471</v>
      </c>
      <c r="H2559" s="3">
        <v>17</v>
      </c>
    </row>
    <row r="2560">
      <c r="A2560" s="0" t="s">
        <v>4617</v>
      </c>
      <c r="B2560" s="0" t="s">
        <v>4461</v>
      </c>
      <c r="C2560" s="5">
        <f>=HYPERLINK("https://nusmods.com/modules/MUA4109#timetable","Timetable")</f>
      </c>
      <c r="D2560" s="5"/>
      <c r="E2560" s="5"/>
      <c r="F2560" s="0" t="s">
        <v>2470</v>
      </c>
      <c r="G2560" s="0" t="s">
        <v>2471</v>
      </c>
      <c r="H2560" s="3">
        <v>15</v>
      </c>
    </row>
    <row r="2561">
      <c r="A2561" s="0" t="s">
        <v>4618</v>
      </c>
      <c r="B2561" s="0" t="s">
        <v>4463</v>
      </c>
      <c r="C2561" s="5">
        <f>=HYPERLINK("https://nusmods.com/modules/MUA4110#timetable","Timetable")</f>
      </c>
      <c r="D2561" s="5"/>
      <c r="E2561" s="5"/>
      <c r="F2561" s="0" t="s">
        <v>2470</v>
      </c>
      <c r="G2561" s="0" t="s">
        <v>2471</v>
      </c>
      <c r="H2561" s="3">
        <v>4</v>
      </c>
    </row>
    <row r="2562">
      <c r="A2562" s="0" t="s">
        <v>4619</v>
      </c>
      <c r="B2562" s="0" t="s">
        <v>4620</v>
      </c>
      <c r="C2562" s="5">
        <f>=HYPERLINK("https://nusmods.com/modules/MUA4113#timetable","Timetable")</f>
      </c>
      <c r="D2562" s="5">
        <f>=HYPERLINK("https://canvas.nus.edu.sg/courses/26110","Canvas course site")</f>
      </c>
      <c r="E2562" s="5">
        <f>=HYPERLINK("https://luminus.nus.edu.sg/modules/4a84fae8-107a-42b1-84a8-9cf914db7c6e","LumiNUS course site")</f>
      </c>
      <c r="F2562" s="0" t="s">
        <v>2470</v>
      </c>
      <c r="G2562" s="0" t="s">
        <v>2471</v>
      </c>
      <c r="H2562" s="3">
        <v>9</v>
      </c>
    </row>
    <row r="2563">
      <c r="A2563" s="0" t="s">
        <v>4621</v>
      </c>
      <c r="B2563" s="0" t="s">
        <v>4622</v>
      </c>
      <c r="C2563" s="5">
        <f>=HYPERLINK("https://nusmods.com/modules/MUA4153#timetable","Timetable")</f>
      </c>
      <c r="D2563" s="5"/>
      <c r="E2563" s="5"/>
      <c r="F2563" s="0" t="s">
        <v>2470</v>
      </c>
      <c r="G2563" s="0" t="s">
        <v>2471</v>
      </c>
      <c r="H2563" s="3">
        <v>2</v>
      </c>
    </row>
    <row r="2564">
      <c r="A2564" s="0" t="s">
        <v>4623</v>
      </c>
      <c r="B2564" s="0" t="s">
        <v>4624</v>
      </c>
      <c r="C2564" s="5">
        <f>=HYPERLINK("https://nusmods.com/modules/MUA4154#timetable","Timetable")</f>
      </c>
      <c r="D2564" s="5"/>
      <c r="E2564" s="5"/>
      <c r="F2564" s="0" t="s">
        <v>2470</v>
      </c>
      <c r="G2564" s="0" t="s">
        <v>2471</v>
      </c>
      <c r="H2564" s="3">
        <v>0</v>
      </c>
    </row>
    <row r="2565">
      <c r="A2565" s="0" t="s">
        <v>4625</v>
      </c>
      <c r="B2565" s="0" t="s">
        <v>4626</v>
      </c>
      <c r="C2565" s="5">
        <f>=HYPERLINK("https://nusmods.com/modules/MUA4161#timetable","Timetable")</f>
      </c>
      <c r="D2565" s="5"/>
      <c r="E2565" s="5"/>
      <c r="F2565" s="0" t="s">
        <v>2470</v>
      </c>
      <c r="G2565" s="0" t="s">
        <v>2471</v>
      </c>
      <c r="H2565" s="3">
        <v>41</v>
      </c>
    </row>
    <row r="2566">
      <c r="A2566" s="0" t="s">
        <v>4627</v>
      </c>
      <c r="B2566" s="0" t="s">
        <v>4628</v>
      </c>
      <c r="C2566" s="5">
        <f>=HYPERLINK("https://nusmods.com/modules/MUA4162#timetable","Timetable")</f>
      </c>
      <c r="D2566" s="5"/>
      <c r="E2566" s="5"/>
      <c r="F2566" s="0" t="s">
        <v>2470</v>
      </c>
      <c r="G2566" s="0" t="s">
        <v>2471</v>
      </c>
      <c r="H2566" s="3">
        <v>1</v>
      </c>
    </row>
    <row r="2567">
      <c r="A2567" s="0" t="s">
        <v>4629</v>
      </c>
      <c r="B2567" s="0" t="s">
        <v>4630</v>
      </c>
      <c r="C2567" s="5">
        <f>=HYPERLINK("https://nusmods.com/modules/MUA4172#timetable","Timetable")</f>
      </c>
      <c r="D2567" s="5"/>
      <c r="E2567" s="5"/>
      <c r="F2567" s="0" t="s">
        <v>2470</v>
      </c>
      <c r="G2567" s="0" t="s">
        <v>2471</v>
      </c>
      <c r="H2567" s="3">
        <v>3</v>
      </c>
    </row>
    <row r="2568">
      <c r="A2568" s="0" t="s">
        <v>4631</v>
      </c>
      <c r="B2568" s="0" t="s">
        <v>4632</v>
      </c>
      <c r="C2568" s="5">
        <f>=HYPERLINK("https://nusmods.com/modules/MUA4173#timetable","Timetable")</f>
      </c>
      <c r="D2568" s="5"/>
      <c r="E2568" s="5"/>
      <c r="F2568" s="0" t="s">
        <v>2470</v>
      </c>
      <c r="G2568" s="0" t="s">
        <v>2471</v>
      </c>
      <c r="H2568" s="3">
        <v>4</v>
      </c>
    </row>
    <row r="2569">
      <c r="A2569" s="0" t="s">
        <v>4633</v>
      </c>
      <c r="B2569" s="0" t="s">
        <v>4634</v>
      </c>
      <c r="C2569" s="5">
        <f>=HYPERLINK("https://nusmods.com/modules/MUA4176#timetable","Timetable")</f>
      </c>
      <c r="D2569" s="5"/>
      <c r="E2569" s="5"/>
      <c r="F2569" s="0" t="s">
        <v>2470</v>
      </c>
      <c r="G2569" s="0" t="s">
        <v>2471</v>
      </c>
      <c r="H2569" s="3">
        <v>4</v>
      </c>
    </row>
    <row r="2570">
      <c r="A2570" s="0" t="s">
        <v>4635</v>
      </c>
      <c r="B2570" s="0" t="s">
        <v>4636</v>
      </c>
      <c r="C2570" s="5">
        <f>=HYPERLINK("https://nusmods.com/modules/MUA4178#timetable","Timetable")</f>
      </c>
      <c r="D2570" s="5"/>
      <c r="E2570" s="5"/>
      <c r="F2570" s="0" t="s">
        <v>2470</v>
      </c>
      <c r="G2570" s="0" t="s">
        <v>2471</v>
      </c>
      <c r="H2570" s="3">
        <v>3</v>
      </c>
    </row>
    <row r="2571">
      <c r="A2571" s="0" t="s">
        <v>4637</v>
      </c>
      <c r="B2571" s="0" t="s">
        <v>4638</v>
      </c>
      <c r="C2571" s="5">
        <f>=HYPERLINK("https://nusmods.com/modules/MUA4181#timetable","Timetable")</f>
      </c>
      <c r="D2571" s="5"/>
      <c r="E2571" s="5"/>
      <c r="F2571" s="0" t="s">
        <v>2470</v>
      </c>
      <c r="G2571" s="0" t="s">
        <v>2471</v>
      </c>
      <c r="H2571" s="3">
        <v>13</v>
      </c>
    </row>
    <row r="2572">
      <c r="A2572" s="0" t="s">
        <v>4639</v>
      </c>
      <c r="B2572" s="0" t="s">
        <v>4640</v>
      </c>
      <c r="C2572" s="5">
        <f>=HYPERLINK("https://nusmods.com/modules/MUA4190#timetable","Timetable")</f>
      </c>
      <c r="D2572" s="5"/>
      <c r="E2572" s="5"/>
      <c r="F2572" s="0" t="s">
        <v>2470</v>
      </c>
      <c r="G2572" s="0" t="s">
        <v>2471</v>
      </c>
      <c r="H2572" s="3">
        <v>1</v>
      </c>
    </row>
    <row r="2573">
      <c r="A2573" s="0" t="s">
        <v>4641</v>
      </c>
      <c r="B2573" s="0" t="s">
        <v>4642</v>
      </c>
      <c r="C2573" s="5">
        <f>=HYPERLINK("https://nusmods.com/modules/MUA4203#timetable","Timetable")</f>
      </c>
      <c r="D2573" s="5"/>
      <c r="E2573" s="5">
        <f>=HYPERLINK("https://luminus.nus.edu.sg/modules/0337477e-ad08-4779-b341-da0dfede07ed","LumiNUS course site")</f>
      </c>
      <c r="F2573" s="0" t="s">
        <v>2470</v>
      </c>
      <c r="G2573" s="0" t="s">
        <v>2471</v>
      </c>
      <c r="H2573" s="3">
        <v>3</v>
      </c>
    </row>
    <row r="2574">
      <c r="A2574" s="0" t="s">
        <v>4643</v>
      </c>
      <c r="B2574" s="0" t="s">
        <v>4644</v>
      </c>
      <c r="C2574" s="5">
        <f>=HYPERLINK("https://nusmods.com/modules/MUA4208#timetable","Timetable")</f>
      </c>
      <c r="D2574" s="5"/>
      <c r="E2574" s="5"/>
      <c r="F2574" s="0" t="s">
        <v>2470</v>
      </c>
      <c r="G2574" s="0" t="s">
        <v>2471</v>
      </c>
      <c r="H2574" s="3">
        <v>11</v>
      </c>
    </row>
    <row r="2575">
      <c r="A2575" s="0" t="s">
        <v>4645</v>
      </c>
      <c r="B2575" s="0" t="s">
        <v>4646</v>
      </c>
      <c r="C2575" s="5">
        <f>=HYPERLINK("https://nusmods.com/modules/MUA4209#timetable","Timetable")</f>
      </c>
      <c r="D2575" s="5"/>
      <c r="E2575" s="5"/>
      <c r="F2575" s="0" t="s">
        <v>2470</v>
      </c>
      <c r="G2575" s="0" t="s">
        <v>2471</v>
      </c>
      <c r="H2575" s="3">
        <v>5</v>
      </c>
    </row>
    <row r="2576">
      <c r="A2576" s="0" t="s">
        <v>4647</v>
      </c>
      <c r="B2576" s="0" t="s">
        <v>4648</v>
      </c>
      <c r="C2576" s="5">
        <f>=HYPERLINK("https://nusmods.com/modules/MUA4210#timetable","Timetable")</f>
      </c>
      <c r="D2576" s="5"/>
      <c r="E2576" s="5"/>
      <c r="F2576" s="0" t="s">
        <v>2470</v>
      </c>
      <c r="G2576" s="0" t="s">
        <v>2471</v>
      </c>
      <c r="H2576" s="3">
        <v>5</v>
      </c>
    </row>
    <row r="2577">
      <c r="A2577" s="0" t="s">
        <v>4649</v>
      </c>
      <c r="B2577" s="0" t="s">
        <v>4650</v>
      </c>
      <c r="C2577" s="5">
        <f>=HYPERLINK("https://nusmods.com/modules/MUA4215#timetable","Timetable")</f>
      </c>
      <c r="D2577" s="5">
        <f>=HYPERLINK("https://canvas.nus.edu.sg/courses/26139","Canvas course site")</f>
      </c>
      <c r="E2577" s="5">
        <f>=HYPERLINK("https://luminus.nus.edu.sg/modules/c693c40a-a471-488d-ad25-36c791282b48","LumiNUS course site")</f>
      </c>
      <c r="F2577" s="0" t="s">
        <v>2470</v>
      </c>
      <c r="G2577" s="0" t="s">
        <v>2471</v>
      </c>
      <c r="H2577" s="3">
        <v>2</v>
      </c>
    </row>
    <row r="2578">
      <c r="A2578" s="0" t="s">
        <v>4651</v>
      </c>
      <c r="B2578" s="0" t="s">
        <v>4652</v>
      </c>
      <c r="C2578" s="5">
        <f>=HYPERLINK("https://nusmods.com/modules/MUA4226#timetable","Timetable")</f>
      </c>
      <c r="D2578" s="5"/>
      <c r="E2578" s="5"/>
      <c r="F2578" s="0" t="s">
        <v>2470</v>
      </c>
      <c r="G2578" s="0" t="s">
        <v>2471</v>
      </c>
      <c r="H2578" s="3">
        <v>0</v>
      </c>
    </row>
    <row r="2579">
      <c r="A2579" s="0" t="s">
        <v>4653</v>
      </c>
      <c r="B2579" s="0" t="s">
        <v>4654</v>
      </c>
      <c r="C2579" s="5">
        <f>=HYPERLINK("https://nusmods.com/modules/MUA4227#timetable","Timetable")</f>
      </c>
      <c r="D2579" s="5"/>
      <c r="E2579" s="5"/>
      <c r="F2579" s="0" t="s">
        <v>2470</v>
      </c>
      <c r="G2579" s="0" t="s">
        <v>2471</v>
      </c>
      <c r="H2579" s="3">
        <v>0</v>
      </c>
    </row>
    <row r="2580">
      <c r="A2580" s="0" t="s">
        <v>4655</v>
      </c>
      <c r="B2580" s="0" t="s">
        <v>4495</v>
      </c>
      <c r="C2580" s="5">
        <f>=HYPERLINK("https://nusmods.com/modules/MUA4240#timetable","Timetable")</f>
      </c>
      <c r="D2580" s="5"/>
      <c r="E2580" s="5"/>
      <c r="F2580" s="0" t="s">
        <v>2470</v>
      </c>
      <c r="G2580" s="0" t="s">
        <v>2471</v>
      </c>
      <c r="H2580" s="3">
        <v>2</v>
      </c>
    </row>
    <row r="2581">
      <c r="A2581" s="0" t="s">
        <v>4656</v>
      </c>
      <c r="B2581" s="0" t="s">
        <v>4497</v>
      </c>
      <c r="C2581" s="5">
        <f>=HYPERLINK("https://nusmods.com/modules/MUA4241#timetable","Timetable")</f>
      </c>
      <c r="D2581" s="5"/>
      <c r="E2581" s="5"/>
      <c r="F2581" s="0" t="s">
        <v>2470</v>
      </c>
      <c r="G2581" s="0" t="s">
        <v>2471</v>
      </c>
      <c r="H2581" s="3">
        <v>0</v>
      </c>
    </row>
    <row r="2582">
      <c r="A2582" s="0" t="s">
        <v>4657</v>
      </c>
      <c r="B2582" s="0" t="s">
        <v>4499</v>
      </c>
      <c r="C2582" s="5">
        <f>=HYPERLINK("https://nusmods.com/modules/MUA4242#timetable","Timetable")</f>
      </c>
      <c r="D2582" s="5"/>
      <c r="E2582" s="5"/>
      <c r="F2582" s="0" t="s">
        <v>2470</v>
      </c>
      <c r="G2582" s="0" t="s">
        <v>2471</v>
      </c>
      <c r="H2582" s="3">
        <v>1</v>
      </c>
    </row>
    <row r="2583">
      <c r="A2583" s="0" t="s">
        <v>4658</v>
      </c>
      <c r="B2583" s="0" t="s">
        <v>4501</v>
      </c>
      <c r="C2583" s="5">
        <f>=HYPERLINK("https://nusmods.com/modules/MUA4243#timetable","Timetable")</f>
      </c>
      <c r="D2583" s="5"/>
      <c r="E2583" s="5"/>
      <c r="F2583" s="0" t="s">
        <v>2470</v>
      </c>
      <c r="G2583" s="0" t="s">
        <v>2471</v>
      </c>
      <c r="H2583" s="3">
        <v>1</v>
      </c>
    </row>
    <row r="2584">
      <c r="A2584" s="0" t="s">
        <v>4659</v>
      </c>
      <c r="B2584" s="0" t="s">
        <v>4660</v>
      </c>
      <c r="C2584" s="5">
        <f>=HYPERLINK("https://nusmods.com/modules/MUA4301#timetable","Timetable")</f>
      </c>
      <c r="D2584" s="5"/>
      <c r="E2584" s="5"/>
      <c r="F2584" s="0" t="s">
        <v>2470</v>
      </c>
      <c r="G2584" s="0" t="s">
        <v>2471</v>
      </c>
      <c r="H2584" s="3">
        <v>0</v>
      </c>
    </row>
    <row r="2585">
      <c r="A2585" s="0" t="s">
        <v>4661</v>
      </c>
      <c r="B2585" s="0" t="s">
        <v>4662</v>
      </c>
      <c r="C2585" s="5">
        <f>=HYPERLINK("https://nusmods.com/modules/MUA4309#timetable","Timetable")</f>
      </c>
      <c r="D2585" s="5"/>
      <c r="E2585" s="5"/>
      <c r="F2585" s="0" t="s">
        <v>2470</v>
      </c>
      <c r="G2585" s="0" t="s">
        <v>2471</v>
      </c>
      <c r="H2585" s="3">
        <v>2</v>
      </c>
    </row>
    <row r="2586">
      <c r="A2586" s="0" t="s">
        <v>4663</v>
      </c>
      <c r="B2586" s="0" t="s">
        <v>4664</v>
      </c>
      <c r="C2586" s="5">
        <f>=HYPERLINK("https://nusmods.com/modules/MUA4310#timetable","Timetable")</f>
      </c>
      <c r="D2586" s="5"/>
      <c r="E2586" s="5"/>
      <c r="F2586" s="0" t="s">
        <v>2470</v>
      </c>
      <c r="G2586" s="0" t="s">
        <v>2471</v>
      </c>
      <c r="H2586" s="3">
        <v>0</v>
      </c>
    </row>
    <row r="2587">
      <c r="A2587" s="0" t="s">
        <v>4665</v>
      </c>
      <c r="B2587" s="0" t="s">
        <v>4666</v>
      </c>
      <c r="C2587" s="5">
        <f>=HYPERLINK("https://nusmods.com/modules/MUA4340#timetable","Timetable")</f>
      </c>
      <c r="D2587" s="5"/>
      <c r="E2587" s="5"/>
      <c r="F2587" s="0" t="s">
        <v>2470</v>
      </c>
      <c r="G2587" s="0" t="s">
        <v>2471</v>
      </c>
      <c r="H2587" s="3">
        <v>0</v>
      </c>
    </row>
    <row r="2588">
      <c r="A2588" s="0" t="s">
        <v>4667</v>
      </c>
      <c r="B2588" s="0" t="s">
        <v>4668</v>
      </c>
      <c r="C2588" s="5">
        <f>=HYPERLINK("https://nusmods.com/modules/MUA4341#timetable","Timetable")</f>
      </c>
      <c r="D2588" s="5"/>
      <c r="E2588" s="5"/>
      <c r="F2588" s="0" t="s">
        <v>2470</v>
      </c>
      <c r="G2588" s="0" t="s">
        <v>2471</v>
      </c>
      <c r="H2588" s="3">
        <v>0</v>
      </c>
    </row>
    <row r="2589">
      <c r="A2589" s="0" t="s">
        <v>4669</v>
      </c>
      <c r="B2589" s="0" t="s">
        <v>4670</v>
      </c>
      <c r="C2589" s="5">
        <f>=HYPERLINK("https://nusmods.com/modules/MUA4342#timetable","Timetable")</f>
      </c>
      <c r="D2589" s="5"/>
      <c r="E2589" s="5"/>
      <c r="F2589" s="0" t="s">
        <v>2470</v>
      </c>
      <c r="G2589" s="0" t="s">
        <v>2471</v>
      </c>
      <c r="H2589" s="3">
        <v>0</v>
      </c>
    </row>
    <row r="2590">
      <c r="A2590" s="0" t="s">
        <v>4671</v>
      </c>
      <c r="B2590" s="0" t="s">
        <v>4672</v>
      </c>
      <c r="C2590" s="5">
        <f>=HYPERLINK("https://nusmods.com/modules/MUA4343#timetable","Timetable")</f>
      </c>
      <c r="D2590" s="5"/>
      <c r="E2590" s="5"/>
      <c r="F2590" s="0" t="s">
        <v>2470</v>
      </c>
      <c r="G2590" s="0" t="s">
        <v>2471</v>
      </c>
      <c r="H2590" s="3">
        <v>1</v>
      </c>
    </row>
    <row r="2591">
      <c r="A2591" s="0" t="s">
        <v>4673</v>
      </c>
      <c r="B2591" s="0" t="s">
        <v>4674</v>
      </c>
      <c r="C2591" s="5">
        <f>=HYPERLINK("https://nusmods.com/modules/MUA4409#timetable","Timetable")</f>
      </c>
      <c r="D2591" s="5"/>
      <c r="E2591" s="5"/>
      <c r="F2591" s="0" t="s">
        <v>2470</v>
      </c>
      <c r="G2591" s="0" t="s">
        <v>2471</v>
      </c>
      <c r="H2591" s="3">
        <v>0</v>
      </c>
    </row>
    <row r="2592">
      <c r="A2592" s="0" t="s">
        <v>4675</v>
      </c>
      <c r="B2592" s="0" t="s">
        <v>4676</v>
      </c>
      <c r="C2592" s="5">
        <f>=HYPERLINK("https://nusmods.com/modules/MUA4410#timetable","Timetable")</f>
      </c>
      <c r="D2592" s="5"/>
      <c r="E2592" s="5"/>
      <c r="F2592" s="0" t="s">
        <v>2470</v>
      </c>
      <c r="G2592" s="0" t="s">
        <v>2471</v>
      </c>
      <c r="H2592" s="3">
        <v>0</v>
      </c>
    </row>
    <row r="2593">
      <c r="A2593" s="0" t="s">
        <v>4677</v>
      </c>
      <c r="B2593" s="0" t="s">
        <v>4678</v>
      </c>
      <c r="C2593" s="5">
        <f>=HYPERLINK("https://nusmods.com/modules/MUA4440#timetable","Timetable")</f>
      </c>
      <c r="D2593" s="5"/>
      <c r="E2593" s="5"/>
      <c r="F2593" s="0" t="s">
        <v>2470</v>
      </c>
      <c r="G2593" s="0" t="s">
        <v>2471</v>
      </c>
      <c r="H2593" s="3">
        <v>0</v>
      </c>
    </row>
    <row r="2594">
      <c r="A2594" s="0" t="s">
        <v>4679</v>
      </c>
      <c r="B2594" s="0" t="s">
        <v>4680</v>
      </c>
      <c r="C2594" s="5">
        <f>=HYPERLINK("https://nusmods.com/modules/MUA4441#timetable","Timetable")</f>
      </c>
      <c r="D2594" s="5"/>
      <c r="E2594" s="5"/>
      <c r="F2594" s="0" t="s">
        <v>2470</v>
      </c>
      <c r="G2594" s="0" t="s">
        <v>2471</v>
      </c>
      <c r="H2594" s="3">
        <v>0</v>
      </c>
    </row>
    <row r="2595">
      <c r="A2595" s="0" t="s">
        <v>4681</v>
      </c>
      <c r="B2595" s="0" t="s">
        <v>4682</v>
      </c>
      <c r="C2595" s="5">
        <f>=HYPERLINK("https://nusmods.com/modules/MUA4442#timetable","Timetable")</f>
      </c>
      <c r="D2595" s="5"/>
      <c r="E2595" s="5"/>
      <c r="F2595" s="0" t="s">
        <v>2470</v>
      </c>
      <c r="G2595" s="0" t="s">
        <v>2471</v>
      </c>
      <c r="H2595" s="3">
        <v>0</v>
      </c>
    </row>
    <row r="2596">
      <c r="A2596" s="0" t="s">
        <v>4683</v>
      </c>
      <c r="B2596" s="0" t="s">
        <v>4684</v>
      </c>
      <c r="C2596" s="5">
        <f>=HYPERLINK("https://nusmods.com/modules/MUA4443#timetable","Timetable")</f>
      </c>
      <c r="D2596" s="5"/>
      <c r="E2596" s="5"/>
      <c r="F2596" s="0" t="s">
        <v>2470</v>
      </c>
      <c r="G2596" s="0" t="s">
        <v>2471</v>
      </c>
      <c r="H2596" s="3">
        <v>0</v>
      </c>
    </row>
    <row r="2597">
      <c r="A2597" s="0" t="s">
        <v>4685</v>
      </c>
      <c r="B2597" s="0" t="s">
        <v>4686</v>
      </c>
      <c r="C2597" s="5">
        <f>=HYPERLINK("https://nusmods.com/modules/MUA4540#timetable","Timetable")</f>
      </c>
      <c r="D2597" s="5"/>
      <c r="E2597" s="5"/>
      <c r="F2597" s="0" t="s">
        <v>2470</v>
      </c>
      <c r="G2597" s="0" t="s">
        <v>2471</v>
      </c>
      <c r="H2597" s="3">
        <v>0</v>
      </c>
    </row>
    <row r="2598">
      <c r="A2598" s="0" t="s">
        <v>4687</v>
      </c>
      <c r="B2598" s="0" t="s">
        <v>4688</v>
      </c>
      <c r="C2598" s="5">
        <f>=HYPERLINK("https://nusmods.com/modules/MUA4541#timetable","Timetable")</f>
      </c>
      <c r="D2598" s="5"/>
      <c r="E2598" s="5"/>
      <c r="F2598" s="0" t="s">
        <v>2470</v>
      </c>
      <c r="G2598" s="0" t="s">
        <v>2471</v>
      </c>
      <c r="H2598" s="3">
        <v>0</v>
      </c>
    </row>
    <row r="2599">
      <c r="A2599" s="0" t="s">
        <v>4689</v>
      </c>
      <c r="B2599" s="0" t="s">
        <v>4690</v>
      </c>
      <c r="C2599" s="5">
        <f>=HYPERLINK("https://nusmods.com/modules/MUA4542#timetable","Timetable")</f>
      </c>
      <c r="D2599" s="5"/>
      <c r="E2599" s="5"/>
      <c r="F2599" s="0" t="s">
        <v>2470</v>
      </c>
      <c r="G2599" s="0" t="s">
        <v>2471</v>
      </c>
      <c r="H2599" s="3">
        <v>0</v>
      </c>
    </row>
    <row r="2600">
      <c r="A2600" s="0" t="s">
        <v>4691</v>
      </c>
      <c r="B2600" s="0" t="s">
        <v>4692</v>
      </c>
      <c r="C2600" s="5">
        <f>=HYPERLINK("https://nusmods.com/modules/MUA4543#timetable","Timetable")</f>
      </c>
      <c r="D2600" s="5"/>
      <c r="E2600" s="5"/>
      <c r="F2600" s="0" t="s">
        <v>2470</v>
      </c>
      <c r="G2600" s="0" t="s">
        <v>2471</v>
      </c>
      <c r="H2600" s="3">
        <v>0</v>
      </c>
    </row>
    <row r="2601">
      <c r="A2601" s="0" t="s">
        <v>4693</v>
      </c>
      <c r="B2601" s="0" t="s">
        <v>4694</v>
      </c>
      <c r="C2601" s="5">
        <f>=HYPERLINK("https://nusmods.com/modules/MUA5105#timetable","Timetable")</f>
      </c>
      <c r="D2601" s="5">
        <f>=HYPERLINK("https://canvas.nus.edu.sg/courses/26163","Canvas course site")</f>
      </c>
      <c r="E2601" s="5"/>
      <c r="F2601" s="0" t="s">
        <v>2470</v>
      </c>
      <c r="G2601" s="0" t="s">
        <v>2471</v>
      </c>
      <c r="H2601" s="3">
        <v>3</v>
      </c>
    </row>
    <row r="2602">
      <c r="A2602" s="0" t="s">
        <v>4695</v>
      </c>
      <c r="B2602" s="0" t="s">
        <v>4696</v>
      </c>
      <c r="C2602" s="5">
        <f>=HYPERLINK("https://nusmods.com/modules/MUA5115#timetable","Timetable")</f>
      </c>
      <c r="D2602" s="5"/>
      <c r="E2602" s="5"/>
      <c r="F2602" s="0" t="s">
        <v>2470</v>
      </c>
      <c r="G2602" s="0" t="s">
        <v>2471</v>
      </c>
      <c r="H2602" s="3">
        <v>1</v>
      </c>
    </row>
    <row r="2603">
      <c r="A2603" s="0" t="s">
        <v>4697</v>
      </c>
      <c r="B2603" s="0" t="s">
        <v>4698</v>
      </c>
      <c r="C2603" s="5">
        <f>=HYPERLINK("https://nusmods.com/modules/MUA5116#timetable","Timetable")</f>
      </c>
      <c r="D2603" s="5"/>
      <c r="E2603" s="5"/>
      <c r="F2603" s="0" t="s">
        <v>2470</v>
      </c>
      <c r="G2603" s="0" t="s">
        <v>2471</v>
      </c>
      <c r="H2603" s="3">
        <v>0</v>
      </c>
    </row>
    <row r="2604">
      <c r="A2604" s="0" t="s">
        <v>4699</v>
      </c>
      <c r="B2604" s="0" t="s">
        <v>4700</v>
      </c>
      <c r="C2604" s="5">
        <f>=HYPERLINK("https://nusmods.com/modules/MUA5121#timetable","Timetable")</f>
      </c>
      <c r="D2604" s="5"/>
      <c r="E2604" s="5"/>
      <c r="F2604" s="0" t="s">
        <v>2470</v>
      </c>
      <c r="G2604" s="0" t="s">
        <v>2471</v>
      </c>
      <c r="H2604" s="3">
        <v>0</v>
      </c>
    </row>
    <row r="2605">
      <c r="A2605" s="0" t="s">
        <v>4701</v>
      </c>
      <c r="B2605" s="0" t="s">
        <v>4702</v>
      </c>
      <c r="C2605" s="5">
        <f>=HYPERLINK("https://nusmods.com/modules/MUA5123#timetable","Timetable")</f>
      </c>
      <c r="D2605" s="5">
        <f>=HYPERLINK("https://canvas.nus.edu.sg/courses/22586","Canvas course site")</f>
      </c>
      <c r="E2605" s="5"/>
      <c r="F2605" s="0" t="s">
        <v>2470</v>
      </c>
      <c r="G2605" s="0" t="s">
        <v>2471</v>
      </c>
      <c r="H2605" s="3">
        <v>2</v>
      </c>
    </row>
    <row r="2606">
      <c r="A2606" s="0" t="s">
        <v>4703</v>
      </c>
      <c r="B2606" s="0" t="s">
        <v>4704</v>
      </c>
      <c r="C2606" s="5">
        <f>=HYPERLINK("https://nusmods.com/modules/MUA5124#timetable","Timetable")</f>
      </c>
      <c r="D2606" s="5">
        <f>=HYPERLINK("https://canvas.nus.edu.sg/courses/22590","Canvas course site")</f>
      </c>
      <c r="E2606" s="5"/>
      <c r="F2606" s="0" t="s">
        <v>2470</v>
      </c>
      <c r="G2606" s="0" t="s">
        <v>2471</v>
      </c>
      <c r="H2606" s="3">
        <v>1</v>
      </c>
    </row>
    <row r="2607">
      <c r="A2607" s="0" t="s">
        <v>4705</v>
      </c>
      <c r="B2607" s="0" t="s">
        <v>4706</v>
      </c>
      <c r="C2607" s="5">
        <f>=HYPERLINK("https://nusmods.com/modules/MUA5161#timetable","Timetable")</f>
      </c>
      <c r="D2607" s="5"/>
      <c r="E2607" s="5"/>
      <c r="F2607" s="0" t="s">
        <v>2470</v>
      </c>
      <c r="G2607" s="0" t="s">
        <v>2471</v>
      </c>
      <c r="H2607" s="3">
        <v>1</v>
      </c>
    </row>
    <row r="2608">
      <c r="A2608" s="0" t="s">
        <v>4707</v>
      </c>
      <c r="B2608" s="0" t="s">
        <v>4708</v>
      </c>
      <c r="C2608" s="5">
        <f>=HYPERLINK("https://nusmods.com/modules/MUA5162#timetable","Timetable")</f>
      </c>
      <c r="D2608" s="5"/>
      <c r="E2608" s="5"/>
      <c r="F2608" s="0" t="s">
        <v>2470</v>
      </c>
      <c r="G2608" s="0" t="s">
        <v>2471</v>
      </c>
      <c r="H2608" s="3">
        <v>0</v>
      </c>
    </row>
    <row r="2609">
      <c r="A2609" s="0" t="s">
        <v>4709</v>
      </c>
      <c r="B2609" s="0" t="s">
        <v>4710</v>
      </c>
      <c r="C2609" s="5">
        <f>=HYPERLINK("https://nusmods.com/modules/MUA5163#timetable","Timetable")</f>
      </c>
      <c r="D2609" s="5">
        <f>=HYPERLINK("https://canvas.nus.edu.sg/courses/22602","Canvas course site")</f>
      </c>
      <c r="E2609" s="5"/>
      <c r="F2609" s="0" t="s">
        <v>2470</v>
      </c>
      <c r="G2609" s="0" t="s">
        <v>2471</v>
      </c>
      <c r="H2609" s="3">
        <v>8</v>
      </c>
    </row>
    <row r="2610">
      <c r="A2610" s="0" t="s">
        <v>4711</v>
      </c>
      <c r="B2610" s="0" t="s">
        <v>4712</v>
      </c>
      <c r="C2610" s="5">
        <f>=HYPERLINK("https://nusmods.com/modules/MUA6115#timetable","Timetable")</f>
      </c>
      <c r="D2610" s="5"/>
      <c r="E2610" s="5"/>
      <c r="F2610" s="0" t="s">
        <v>2470</v>
      </c>
      <c r="G2610" s="0" t="s">
        <v>2471</v>
      </c>
      <c r="H2610" s="3">
        <v>1</v>
      </c>
    </row>
    <row r="2611">
      <c r="A2611" s="0" t="s">
        <v>4713</v>
      </c>
      <c r="B2611" s="0" t="s">
        <v>4714</v>
      </c>
      <c r="C2611" s="5">
        <f>=HYPERLINK("https://nusmods.com/modules/MUA6116#timetable","Timetable")</f>
      </c>
      <c r="D2611" s="5"/>
      <c r="E2611" s="5"/>
      <c r="F2611" s="0" t="s">
        <v>2470</v>
      </c>
      <c r="G2611" s="0" t="s">
        <v>2471</v>
      </c>
      <c r="H2611" s="3">
        <v>5</v>
      </c>
    </row>
    <row r="2612">
      <c r="A2612" s="0" t="s">
        <v>4715</v>
      </c>
      <c r="B2612" s="0" t="s">
        <v>4716</v>
      </c>
      <c r="C2612" s="5">
        <f>=HYPERLINK("https://nusmods.com/modules/MUA6161#timetable","Timetable")</f>
      </c>
      <c r="D2612" s="5"/>
      <c r="E2612" s="5"/>
      <c r="F2612" s="0" t="s">
        <v>2470</v>
      </c>
      <c r="G2612" s="0" t="s">
        <v>2471</v>
      </c>
      <c r="H2612" s="3">
        <v>2</v>
      </c>
    </row>
    <row r="2613">
      <c r="A2613" s="0" t="s">
        <v>4717</v>
      </c>
      <c r="B2613" s="0" t="s">
        <v>4718</v>
      </c>
      <c r="C2613" s="5">
        <f>=HYPERLINK("https://nusmods.com/modules/MUA6162#timetable","Timetable")</f>
      </c>
      <c r="D2613" s="5"/>
      <c r="E2613" s="5"/>
      <c r="F2613" s="0" t="s">
        <v>2470</v>
      </c>
      <c r="G2613" s="0" t="s">
        <v>2471</v>
      </c>
      <c r="H2613" s="3">
        <v>4</v>
      </c>
    </row>
    <row r="2614">
      <c r="A2614" s="0" t="s">
        <v>4719</v>
      </c>
      <c r="B2614" s="0" t="s">
        <v>4720</v>
      </c>
      <c r="C2614" s="5">
        <f>=HYPERLINK("https://nusmods.com/modules/MUH1100#timetable","Timetable")</f>
      </c>
      <c r="D2614" s="5"/>
      <c r="E2614" s="5">
        <f>=HYPERLINK("https://luminus.nus.edu.sg/modules/73e5b248-4d6b-46ac-9fba-d1fcc8c235e3","LumiNUS course site")</f>
      </c>
      <c r="F2614" s="0" t="s">
        <v>2470</v>
      </c>
      <c r="G2614" s="0" t="s">
        <v>2471</v>
      </c>
      <c r="H2614" s="3">
        <v>30</v>
      </c>
    </row>
    <row r="2615">
      <c r="A2615" s="0" t="s">
        <v>4721</v>
      </c>
      <c r="B2615" s="0" t="s">
        <v>4722</v>
      </c>
      <c r="C2615" s="5">
        <f>=HYPERLINK("https://nusmods.com/modules/MUH1101#timetable","Timetable")</f>
      </c>
      <c r="D2615" s="5">
        <f>=HYPERLINK("https://canvas.nus.edu.sg/courses/22624","Canvas course site")</f>
      </c>
      <c r="E2615" s="5"/>
      <c r="F2615" s="0" t="s">
        <v>2470</v>
      </c>
      <c r="G2615" s="0" t="s">
        <v>2471</v>
      </c>
      <c r="H2615" s="3">
        <v>27</v>
      </c>
    </row>
    <row r="2616">
      <c r="A2616" s="0" t="s">
        <v>4723</v>
      </c>
      <c r="B2616" s="0" t="s">
        <v>4724</v>
      </c>
      <c r="C2616" s="5">
        <f>=HYPERLINK("https://nusmods.com/modules/MUH2201#timetable","Timetable")</f>
      </c>
      <c r="D2616" s="5">
        <f>=HYPERLINK("https://canvas.nus.edu.sg/courses/22628","Canvas course site")</f>
      </c>
      <c r="E2616" s="5"/>
      <c r="F2616" s="0" t="s">
        <v>2470</v>
      </c>
      <c r="G2616" s="0" t="s">
        <v>2471</v>
      </c>
      <c r="H2616" s="3">
        <v>17</v>
      </c>
    </row>
    <row r="2617">
      <c r="A2617" s="0" t="s">
        <v>4725</v>
      </c>
      <c r="B2617" s="0" t="s">
        <v>4726</v>
      </c>
      <c r="C2617" s="5">
        <f>=HYPERLINK("https://nusmods.com/modules/MUH4204#timetable","Timetable")</f>
      </c>
      <c r="D2617" s="5"/>
      <c r="E2617" s="5"/>
      <c r="F2617" s="0" t="s">
        <v>2470</v>
      </c>
      <c r="G2617" s="0" t="s">
        <v>2471</v>
      </c>
      <c r="H2617" s="3">
        <v>0</v>
      </c>
    </row>
    <row r="2618">
      <c r="A2618" s="0" t="s">
        <v>4727</v>
      </c>
      <c r="B2618" s="0" t="s">
        <v>4728</v>
      </c>
      <c r="C2618" s="5">
        <f>=HYPERLINK("https://nusmods.com/modules/MUL1105#timetable","Timetable")</f>
      </c>
      <c r="D2618" s="5">
        <f>=HYPERLINK("https://canvas.nus.edu.sg/courses/22636","Canvas course site")</f>
      </c>
      <c r="E2618" s="5">
        <f>=HYPERLINK("https://luminus.nus.edu.sg/modules/70b4e387-10be-4ce0-9392-45097ca5fb1b","LumiNUS course site")</f>
      </c>
      <c r="F2618" s="0" t="s">
        <v>2470</v>
      </c>
      <c r="G2618" s="0" t="s">
        <v>2471</v>
      </c>
      <c r="H2618" s="3">
        <v>9</v>
      </c>
    </row>
    <row r="2619">
      <c r="A2619" s="0" t="s">
        <v>4729</v>
      </c>
      <c r="B2619" s="0" t="s">
        <v>4730</v>
      </c>
      <c r="C2619" s="5">
        <f>=HYPERLINK("https://nusmods.com/modules/MUL2107#timetable","Timetable")</f>
      </c>
      <c r="D2619" s="5"/>
      <c r="E2619" s="5"/>
      <c r="F2619" s="0" t="s">
        <v>2470</v>
      </c>
      <c r="G2619" s="0" t="s">
        <v>2471</v>
      </c>
      <c r="H2619" s="3">
        <v>4</v>
      </c>
    </row>
    <row r="2620">
      <c r="A2620" s="0" t="s">
        <v>4731</v>
      </c>
      <c r="B2620" s="0" t="s">
        <v>4732</v>
      </c>
      <c r="C2620" s="5">
        <f>=HYPERLINK("https://nusmods.com/modules/MUL2109#timetable","Timetable")</f>
      </c>
      <c r="D2620" s="5"/>
      <c r="E2620" s="5">
        <f>=HYPERLINK("https://luminus.nus.edu.sg/modules/3d244141-f17d-4132-938d-fbd4298ee37b","LumiNUS course site")</f>
      </c>
      <c r="F2620" s="0" t="s">
        <v>2470</v>
      </c>
      <c r="G2620" s="0" t="s">
        <v>2471</v>
      </c>
      <c r="H2620" s="3">
        <v>12</v>
      </c>
    </row>
    <row r="2621">
      <c r="A2621" s="0" t="s">
        <v>4733</v>
      </c>
      <c r="B2621" s="0" t="s">
        <v>4734</v>
      </c>
      <c r="C2621" s="5">
        <f>=HYPERLINK("https://nusmods.com/modules/MUT1101#timetable","Timetable")</f>
      </c>
      <c r="D2621" s="5"/>
      <c r="E2621" s="5">
        <f>=HYPERLINK("https://luminus.nus.edu.sg/modules/7963aaa4-f5da-4b2a-be7c-eeba6f5ac306","LumiNUS course site")</f>
      </c>
      <c r="F2621" s="0" t="s">
        <v>2470</v>
      </c>
      <c r="G2621" s="0" t="s">
        <v>2471</v>
      </c>
      <c r="H2621" s="3">
        <v>54</v>
      </c>
    </row>
    <row r="2622">
      <c r="A2622" s="0" t="s">
        <v>4735</v>
      </c>
      <c r="B2622" s="0" t="s">
        <v>4736</v>
      </c>
      <c r="C2622" s="5">
        <f>=HYPERLINK("https://nusmods.com/modules/MUT1201#timetable","Timetable")</f>
      </c>
      <c r="D2622" s="5">
        <f>=HYPERLINK("https://canvas.nus.edu.sg/courses/22651","Canvas course site")</f>
      </c>
      <c r="E2622" s="5"/>
      <c r="F2622" s="0" t="s">
        <v>2470</v>
      </c>
      <c r="G2622" s="0" t="s">
        <v>2471</v>
      </c>
      <c r="H2622" s="3">
        <v>22</v>
      </c>
    </row>
    <row r="2623">
      <c r="A2623" s="0" t="s">
        <v>4737</v>
      </c>
      <c r="B2623" s="0" t="s">
        <v>4738</v>
      </c>
      <c r="C2623" s="5">
        <f>=HYPERLINK("https://nusmods.com/modules/MUT2204#timetable","Timetable")</f>
      </c>
      <c r="D2623" s="5"/>
      <c r="E2623" s="5">
        <f>=HYPERLINK("https://luminus.nus.edu.sg/modules/8c410d4b-ae0c-4ac7-9893-91938ad40a2b","LumiNUS course site")</f>
      </c>
      <c r="F2623" s="0" t="s">
        <v>2470</v>
      </c>
      <c r="G2623" s="0" t="s">
        <v>2471</v>
      </c>
      <c r="H2623" s="3">
        <v>33</v>
      </c>
    </row>
    <row r="2624">
      <c r="A2624" s="0" t="s">
        <v>4739</v>
      </c>
      <c r="B2624" s="0" t="s">
        <v>4740</v>
      </c>
      <c r="C2624" s="5">
        <f>=HYPERLINK("https://nusmods.com/modules/MUT2205#timetable","Timetable")</f>
      </c>
      <c r="D2624" s="5">
        <f>=HYPERLINK("https://canvas.nus.edu.sg/courses/22658","Canvas course site")</f>
      </c>
      <c r="E2624" s="5"/>
      <c r="F2624" s="0" t="s">
        <v>2470</v>
      </c>
      <c r="G2624" s="0" t="s">
        <v>2471</v>
      </c>
      <c r="H2624" s="3">
        <v>30</v>
      </c>
    </row>
    <row r="2625">
      <c r="A2625" s="0" t="s">
        <v>4741</v>
      </c>
      <c r="B2625" s="0" t="s">
        <v>4742</v>
      </c>
      <c r="C2625" s="5">
        <f>=HYPERLINK("https://nusmods.com/modules/MUT3113#timetable","Timetable")</f>
      </c>
      <c r="D2625" s="5"/>
      <c r="E2625" s="5">
        <f>=HYPERLINK("https://luminus.nus.edu.sg/modules/11b9c896-c2f0-44c3-9c0b-f58bcc5abf3f","LumiNUS course site")</f>
      </c>
      <c r="F2625" s="0" t="s">
        <v>2470</v>
      </c>
      <c r="G2625" s="0" t="s">
        <v>2471</v>
      </c>
      <c r="H2625" s="3">
        <v>8</v>
      </c>
    </row>
    <row r="2626">
      <c r="A2626" s="0" t="s">
        <v>4743</v>
      </c>
      <c r="B2626" s="0" t="s">
        <v>4744</v>
      </c>
      <c r="C2626" s="5">
        <f>=HYPERLINK("https://nusmods.com/modules/MUT3215#timetable","Timetable")</f>
      </c>
      <c r="D2626" s="5"/>
      <c r="E2626" s="5">
        <f>=HYPERLINK("https://luminus.nus.edu.sg/modules/86a31944-4463-454d-911c-f58722bae430","LumiNUS course site")</f>
      </c>
      <c r="F2626" s="0" t="s">
        <v>2470</v>
      </c>
      <c r="G2626" s="0" t="s">
        <v>2471</v>
      </c>
      <c r="H2626" s="3">
        <v>6</v>
      </c>
    </row>
    <row r="2627">
      <c r="A2627" s="0" t="s">
        <v>4745</v>
      </c>
      <c r="B2627" s="0" t="s">
        <v>4746</v>
      </c>
      <c r="C2627" s="5">
        <f>=HYPERLINK("https://nusmods.com/modules/MUT3222#timetable","Timetable")</f>
      </c>
      <c r="D2627" s="5">
        <f>=HYPERLINK("https://canvas.nus.edu.sg/courses/22668","Canvas course site")</f>
      </c>
      <c r="E2627" s="5"/>
      <c r="F2627" s="0" t="s">
        <v>2470</v>
      </c>
      <c r="G2627" s="0" t="s">
        <v>2471</v>
      </c>
      <c r="H2627" s="3">
        <v>9</v>
      </c>
    </row>
    <row r="2628">
      <c r="A2628" s="0" t="s">
        <v>4747</v>
      </c>
      <c r="B2628" s="0" t="s">
        <v>4748</v>
      </c>
      <c r="C2628" s="5">
        <f>=HYPERLINK("https://nusmods.com/modules/MUT3224#timetable","Timetable")</f>
      </c>
      <c r="D2628" s="5">
        <f>=HYPERLINK("https://canvas.nus.edu.sg/courses/22674","Canvas course site")</f>
      </c>
      <c r="E2628" s="5"/>
      <c r="F2628" s="0" t="s">
        <v>2470</v>
      </c>
      <c r="G2628" s="0" t="s">
        <v>2471</v>
      </c>
      <c r="H2628" s="3">
        <v>8</v>
      </c>
    </row>
    <row r="2629">
      <c r="A2629" s="0" t="s">
        <v>4749</v>
      </c>
      <c r="B2629" s="0" t="s">
        <v>4750</v>
      </c>
      <c r="C2629" s="5">
        <f>=HYPERLINK("https://nusmods.com/modules/MUT4201#timetable","Timetable")</f>
      </c>
      <c r="D2629" s="5"/>
      <c r="E2629" s="5">
        <f>=HYPERLINK("https://luminus.nus.edu.sg/modules/dcd6801b-b183-4165-9a05-fdbabe8b50af","LumiNUS course site")</f>
      </c>
      <c r="F2629" s="0" t="s">
        <v>2470</v>
      </c>
      <c r="G2629" s="0" t="s">
        <v>2471</v>
      </c>
      <c r="H2629" s="3">
        <v>6</v>
      </c>
    </row>
    <row r="2630">
      <c r="A2630" s="0" t="s">
        <v>4751</v>
      </c>
      <c r="B2630" s="0" t="s">
        <v>4752</v>
      </c>
      <c r="C2630" s="5">
        <f>=HYPERLINK("https://nusmods.com/modules/NGN2001A#timetable","Timetable")</f>
      </c>
      <c r="D2630" s="5">
        <f>=HYPERLINK("https://canvas.nus.edu.sg/courses/35349","Canvas course site")</f>
      </c>
      <c r="E2630" s="5"/>
      <c r="F2630" s="0" t="s">
        <v>2451</v>
      </c>
      <c r="G2630" s="0" t="s">
        <v>2452</v>
      </c>
      <c r="H2630" s="3">
        <v>17</v>
      </c>
    </row>
    <row r="2631">
      <c r="A2631" s="0" t="s">
        <v>4753</v>
      </c>
      <c r="B2631" s="0" t="s">
        <v>4752</v>
      </c>
      <c r="C2631" s="5">
        <f>=HYPERLINK("https://nusmods.com/modules/NGN2001B#timetable","Timetable")</f>
      </c>
      <c r="D2631" s="5">
        <f>=HYPERLINK("https://canvas.nus.edu.sg/courses/35350","Canvas course site")</f>
      </c>
      <c r="E2631" s="5"/>
      <c r="F2631" s="0" t="s">
        <v>2451</v>
      </c>
      <c r="G2631" s="0" t="s">
        <v>2452</v>
      </c>
      <c r="H2631" s="3">
        <v>17</v>
      </c>
    </row>
    <row r="2632">
      <c r="A2632" s="0" t="s">
        <v>4754</v>
      </c>
      <c r="B2632" s="0" t="s">
        <v>4752</v>
      </c>
      <c r="C2632" s="5">
        <f>=HYPERLINK("https://nusmods.com/modules/NGN2001C#timetable","Timetable")</f>
      </c>
      <c r="D2632" s="5">
        <f>=HYPERLINK("https://canvas.nus.edu.sg/courses/35351","Canvas course site")</f>
      </c>
      <c r="E2632" s="5"/>
      <c r="F2632" s="0" t="s">
        <v>2451</v>
      </c>
      <c r="G2632" s="0" t="s">
        <v>2452</v>
      </c>
      <c r="H2632" s="3">
        <v>20</v>
      </c>
    </row>
    <row r="2633">
      <c r="A2633" s="0" t="s">
        <v>4755</v>
      </c>
      <c r="B2633" s="0" t="s">
        <v>4752</v>
      </c>
      <c r="C2633" s="5">
        <f>=HYPERLINK("https://nusmods.com/modules/NGN2001D#timetable","Timetable")</f>
      </c>
      <c r="D2633" s="5">
        <f>=HYPERLINK("https://canvas.nus.edu.sg/courses/35352","Canvas course site")</f>
      </c>
      <c r="E2633" s="5"/>
      <c r="F2633" s="0" t="s">
        <v>2451</v>
      </c>
      <c r="G2633" s="0" t="s">
        <v>2452</v>
      </c>
      <c r="H2633" s="3">
        <v>19</v>
      </c>
    </row>
    <row r="2634">
      <c r="A2634" s="0" t="s">
        <v>4756</v>
      </c>
      <c r="B2634" s="0" t="s">
        <v>4752</v>
      </c>
      <c r="C2634" s="5">
        <f>=HYPERLINK("https://nusmods.com/modules/NGN2001E#timetable","Timetable")</f>
      </c>
      <c r="D2634" s="5">
        <f>=HYPERLINK("https://canvas.nus.edu.sg/courses/35353","Canvas course site")</f>
      </c>
      <c r="E2634" s="5"/>
      <c r="F2634" s="0" t="s">
        <v>2451</v>
      </c>
      <c r="G2634" s="0" t="s">
        <v>2452</v>
      </c>
      <c r="H2634" s="3">
        <v>20</v>
      </c>
    </row>
    <row r="2635">
      <c r="A2635" s="0" t="s">
        <v>4757</v>
      </c>
      <c r="B2635" s="0" t="s">
        <v>4752</v>
      </c>
      <c r="C2635" s="5">
        <f>=HYPERLINK("https://nusmods.com/modules/NGN2001F#timetable","Timetable")</f>
      </c>
      <c r="D2635" s="5">
        <f>=HYPERLINK("https://canvas.nus.edu.sg/courses/35354","Canvas course site")</f>
      </c>
      <c r="E2635" s="5"/>
      <c r="F2635" s="0" t="s">
        <v>2451</v>
      </c>
      <c r="G2635" s="0" t="s">
        <v>2452</v>
      </c>
      <c r="H2635" s="3">
        <v>11</v>
      </c>
    </row>
    <row r="2636">
      <c r="A2636" s="0" t="s">
        <v>4758</v>
      </c>
      <c r="B2636" s="0" t="s">
        <v>4752</v>
      </c>
      <c r="C2636" s="5">
        <f>=HYPERLINK("https://nusmods.com/modules/NGN2001G#timetable","Timetable")</f>
      </c>
      <c r="D2636" s="5">
        <f>=HYPERLINK("https://canvas.nus.edu.sg/courses/35355","Canvas course site")</f>
      </c>
      <c r="E2636" s="5"/>
      <c r="F2636" s="0" t="s">
        <v>2451</v>
      </c>
      <c r="G2636" s="0" t="s">
        <v>2452</v>
      </c>
      <c r="H2636" s="3">
        <v>17</v>
      </c>
    </row>
    <row r="2637">
      <c r="A2637" s="0" t="s">
        <v>4759</v>
      </c>
      <c r="B2637" s="0" t="s">
        <v>4752</v>
      </c>
      <c r="C2637" s="5">
        <f>=HYPERLINK("https://nusmods.com/modules/NGN2001H#timetable","Timetable")</f>
      </c>
      <c r="D2637" s="5">
        <f>=HYPERLINK("https://canvas.nus.edu.sg/courses/35356","Canvas course site")</f>
      </c>
      <c r="E2637" s="5"/>
      <c r="F2637" s="0" t="s">
        <v>2451</v>
      </c>
      <c r="G2637" s="0" t="s">
        <v>2452</v>
      </c>
      <c r="H2637" s="3">
        <v>16</v>
      </c>
    </row>
    <row r="2638">
      <c r="A2638" s="0" t="s">
        <v>4760</v>
      </c>
      <c r="B2638" s="0" t="s">
        <v>4752</v>
      </c>
      <c r="C2638" s="5">
        <f>=HYPERLINK("https://nusmods.com/modules/NGN2001I#timetable","Timetable")</f>
      </c>
      <c r="D2638" s="5">
        <f>=HYPERLINK("https://canvas.nus.edu.sg/courses/35357","Canvas course site")</f>
      </c>
      <c r="E2638" s="5"/>
      <c r="F2638" s="0" t="s">
        <v>2451</v>
      </c>
      <c r="G2638" s="0" t="s">
        <v>2452</v>
      </c>
      <c r="H2638" s="3">
        <v>10</v>
      </c>
    </row>
    <row r="2639">
      <c r="A2639" s="0" t="s">
        <v>4761</v>
      </c>
      <c r="B2639" s="0" t="s">
        <v>4752</v>
      </c>
      <c r="C2639" s="5">
        <f>=HYPERLINK("https://nusmods.com/modules/NGN2001J#timetable","Timetable")</f>
      </c>
      <c r="D2639" s="5">
        <f>=HYPERLINK("https://canvas.nus.edu.sg/courses/35358","Canvas course site")</f>
      </c>
      <c r="E2639" s="5"/>
      <c r="F2639" s="0" t="s">
        <v>2451</v>
      </c>
      <c r="G2639" s="0" t="s">
        <v>2452</v>
      </c>
      <c r="H2639" s="3">
        <v>16</v>
      </c>
    </row>
    <row r="2640">
      <c r="A2640" s="0" t="s">
        <v>4762</v>
      </c>
      <c r="B2640" s="0" t="s">
        <v>4752</v>
      </c>
      <c r="C2640" s="5">
        <f>=HYPERLINK("https://nusmods.com/modules/NGN2001K#timetable","Timetable")</f>
      </c>
      <c r="D2640" s="5">
        <f>=HYPERLINK("https://canvas.nus.edu.sg/courses/35359","Canvas course site")</f>
      </c>
      <c r="E2640" s="5"/>
      <c r="F2640" s="0" t="s">
        <v>2451</v>
      </c>
      <c r="G2640" s="0" t="s">
        <v>2452</v>
      </c>
      <c r="H2640" s="3">
        <v>12</v>
      </c>
    </row>
    <row r="2641">
      <c r="A2641" s="0" t="s">
        <v>4763</v>
      </c>
      <c r="B2641" s="0" t="s">
        <v>4752</v>
      </c>
      <c r="C2641" s="5">
        <f>=HYPERLINK("https://nusmods.com/modules/NGN2001M#timetable","Timetable")</f>
      </c>
      <c r="D2641" s="5">
        <f>=HYPERLINK("https://canvas.nus.edu.sg/courses/35361","Canvas course site")</f>
      </c>
      <c r="E2641" s="5"/>
      <c r="F2641" s="0" t="s">
        <v>2451</v>
      </c>
      <c r="G2641" s="0" t="s">
        <v>2452</v>
      </c>
      <c r="H2641" s="3">
        <v>15</v>
      </c>
    </row>
    <row r="2642">
      <c r="A2642" s="0" t="s">
        <v>4764</v>
      </c>
      <c r="B2642" s="0" t="s">
        <v>365</v>
      </c>
      <c r="C2642" s="5">
        <f>=HYPERLINK("https://nusmods.com/modules/NHS3901#timetable","Timetable")</f>
      </c>
      <c r="D2642" s="5"/>
      <c r="E2642" s="5"/>
      <c r="F2642" s="0" t="s">
        <v>2451</v>
      </c>
      <c r="G2642" s="0" t="s">
        <v>2452</v>
      </c>
      <c r="H2642" s="3">
        <v>19</v>
      </c>
    </row>
    <row r="2643">
      <c r="A2643" s="0" t="s">
        <v>4765</v>
      </c>
      <c r="B2643" s="0" t="s">
        <v>365</v>
      </c>
      <c r="C2643" s="5">
        <f>=HYPERLINK("https://nusmods.com/modules/NHS3902#timetable","Timetable")</f>
      </c>
      <c r="D2643" s="5"/>
      <c r="E2643" s="5"/>
      <c r="F2643" s="0" t="s">
        <v>2451</v>
      </c>
      <c r="G2643" s="0" t="s">
        <v>2452</v>
      </c>
      <c r="H2643" s="3">
        <v>0</v>
      </c>
    </row>
    <row r="2644">
      <c r="A2644" s="0" t="s">
        <v>4766</v>
      </c>
      <c r="B2644" s="0" t="s">
        <v>365</v>
      </c>
      <c r="C2644" s="5">
        <f>=HYPERLINK("https://nusmods.com/modules/NHS3911EC#timetable","Timetable")</f>
      </c>
      <c r="D2644" s="5"/>
      <c r="E2644" s="5"/>
      <c r="F2644" s="0" t="s">
        <v>73</v>
      </c>
      <c r="G2644" s="0" t="s">
        <v>2223</v>
      </c>
      <c r="H2644" s="3">
        <v>2</v>
      </c>
    </row>
    <row r="2645">
      <c r="A2645" s="0" t="s">
        <v>4767</v>
      </c>
      <c r="B2645" s="0" t="s">
        <v>365</v>
      </c>
      <c r="C2645" s="5">
        <f>=HYPERLINK("https://nusmods.com/modules/NHS3911EL#timetable","Timetable")</f>
      </c>
      <c r="D2645" s="5"/>
      <c r="E2645" s="5"/>
      <c r="F2645" s="0" t="s">
        <v>73</v>
      </c>
      <c r="G2645" s="0" t="s">
        <v>2223</v>
      </c>
      <c r="H2645" s="3">
        <v>2</v>
      </c>
    </row>
    <row r="2646">
      <c r="A2646" s="0" t="s">
        <v>4768</v>
      </c>
      <c r="B2646" s="0" t="s">
        <v>365</v>
      </c>
      <c r="C2646" s="5">
        <f>=HYPERLINK("https://nusmods.com/modules/NHS3911EN#timetable","Timetable")</f>
      </c>
      <c r="D2646" s="5"/>
      <c r="E2646" s="5"/>
      <c r="F2646" s="0" t="s">
        <v>73</v>
      </c>
      <c r="G2646" s="0" t="s">
        <v>2223</v>
      </c>
      <c r="H2646" s="3">
        <v>1</v>
      </c>
    </row>
    <row r="2647">
      <c r="A2647" s="0" t="s">
        <v>4769</v>
      </c>
      <c r="B2647" s="0" t="s">
        <v>365</v>
      </c>
      <c r="C2647" s="5">
        <f>=HYPERLINK("https://nusmods.com/modules/NHS3911PS#timetable","Timetable")</f>
      </c>
      <c r="D2647" s="5"/>
      <c r="E2647" s="5"/>
      <c r="F2647" s="0" t="s">
        <v>73</v>
      </c>
      <c r="G2647" s="0" t="s">
        <v>2223</v>
      </c>
      <c r="H2647" s="3">
        <v>3</v>
      </c>
    </row>
    <row r="2648">
      <c r="A2648" s="0" t="s">
        <v>4770</v>
      </c>
      <c r="B2648" s="0" t="s">
        <v>365</v>
      </c>
      <c r="C2648" s="5">
        <f>=HYPERLINK("https://nusmods.com/modules/NHS3911SC#timetable","Timetable")</f>
      </c>
      <c r="D2648" s="5"/>
      <c r="E2648" s="5"/>
      <c r="F2648" s="0" t="s">
        <v>73</v>
      </c>
      <c r="G2648" s="0" t="s">
        <v>2223</v>
      </c>
      <c r="H2648" s="3">
        <v>3</v>
      </c>
    </row>
    <row r="2649">
      <c r="A2649" s="0" t="s">
        <v>4771</v>
      </c>
      <c r="B2649" s="0" t="s">
        <v>365</v>
      </c>
      <c r="C2649" s="5">
        <f>=HYPERLINK("https://nusmods.com/modules/NHS4911PS#timetable","Timetable")</f>
      </c>
      <c r="D2649" s="5"/>
      <c r="E2649" s="5"/>
      <c r="F2649" s="0" t="s">
        <v>73</v>
      </c>
      <c r="G2649" s="0" t="s">
        <v>2223</v>
      </c>
      <c r="H2649" s="3">
        <v>1</v>
      </c>
    </row>
    <row r="2650">
      <c r="A2650" s="0" t="s">
        <v>4772</v>
      </c>
      <c r="B2650" s="0" t="s">
        <v>365</v>
      </c>
      <c r="C2650" s="5">
        <f>=HYPERLINK("https://nusmods.com/modules/NHS4912PH#timetable","Timetable")</f>
      </c>
      <c r="D2650" s="5"/>
      <c r="E2650" s="5"/>
      <c r="F2650" s="0" t="s">
        <v>73</v>
      </c>
      <c r="G2650" s="0" t="s">
        <v>2223</v>
      </c>
      <c r="H2650" s="3">
        <v>1</v>
      </c>
    </row>
    <row r="2651">
      <c r="A2651" s="0" t="s">
        <v>4773</v>
      </c>
      <c r="B2651" s="0" t="s">
        <v>4774</v>
      </c>
      <c r="C2651" s="5">
        <f>=HYPERLINK("https://nusmods.com/modules/NM1101E#timetable","Timetable")</f>
      </c>
      <c r="D2651" s="5">
        <f>=HYPERLINK("https://canvas.nus.edu.sg/courses/22509","Canvas course site")</f>
      </c>
      <c r="E2651" s="5">
        <f>=HYPERLINK("https://luminus.nus.edu.sg/modules/25b974a1-9b9c-4257-b766-15a64857c01b","LumiNUS course site")</f>
      </c>
      <c r="F2651" s="0" t="s">
        <v>73</v>
      </c>
      <c r="G2651" s="0" t="s">
        <v>74</v>
      </c>
      <c r="H2651" s="3">
        <v>370</v>
      </c>
    </row>
    <row r="2652">
      <c r="A2652" s="0" t="s">
        <v>4775</v>
      </c>
      <c r="B2652" s="0" t="s">
        <v>4776</v>
      </c>
      <c r="C2652" s="5">
        <f>=HYPERLINK("https://nusmods.com/modules/NM2101#timetable","Timetable")</f>
      </c>
      <c r="D2652" s="5"/>
      <c r="E2652" s="5">
        <f>=HYPERLINK("https://luminus.nus.edu.sg/modules/76c8dab8-325d-4be1-a556-ce5e8e9709a8","LumiNUS course site")</f>
      </c>
      <c r="F2652" s="0" t="s">
        <v>73</v>
      </c>
      <c r="G2652" s="0" t="s">
        <v>74</v>
      </c>
      <c r="H2652" s="3">
        <v>162</v>
      </c>
    </row>
    <row r="2653">
      <c r="A2653" s="0" t="s">
        <v>4777</v>
      </c>
      <c r="B2653" s="0" t="s">
        <v>4778</v>
      </c>
      <c r="C2653" s="5">
        <f>=HYPERLINK("https://nusmods.com/modules/NM2103#timetable","Timetable")</f>
      </c>
      <c r="D2653" s="5"/>
      <c r="E2653" s="5">
        <f>=HYPERLINK("https://luminus.nus.edu.sg/modules/283f6465-61bc-4947-ab14-2c4dffcc4761","LumiNUS course site")</f>
      </c>
      <c r="F2653" s="0" t="s">
        <v>73</v>
      </c>
      <c r="G2653" s="0" t="s">
        <v>74</v>
      </c>
      <c r="H2653" s="3">
        <v>100</v>
      </c>
    </row>
    <row r="2654">
      <c r="A2654" s="0" t="s">
        <v>4779</v>
      </c>
      <c r="B2654" s="0" t="s">
        <v>4780</v>
      </c>
      <c r="C2654" s="5">
        <f>=HYPERLINK("https://nusmods.com/modules/NM2104#timetable","Timetable")</f>
      </c>
      <c r="D2654" s="5"/>
      <c r="E2654" s="5">
        <f>=HYPERLINK("https://luminus.nus.edu.sg/modules/a89e7edb-facd-40c3-8f2a-c793e5f6fcd4","LumiNUS course site")</f>
      </c>
      <c r="F2654" s="0" t="s">
        <v>73</v>
      </c>
      <c r="G2654" s="0" t="s">
        <v>74</v>
      </c>
      <c r="H2654" s="3">
        <v>107</v>
      </c>
    </row>
    <row r="2655">
      <c r="A2655" s="0" t="s">
        <v>4781</v>
      </c>
      <c r="B2655" s="0" t="s">
        <v>4782</v>
      </c>
      <c r="C2655" s="5">
        <f>=HYPERLINK("https://nusmods.com/modules/NM2209#timetable","Timetable")</f>
      </c>
      <c r="D2655" s="5"/>
      <c r="E2655" s="5">
        <f>=HYPERLINK("https://luminus.nus.edu.sg/modules/3b35c485-725a-4415-adbf-cb2bf28e286f","LumiNUS course site")</f>
      </c>
      <c r="F2655" s="0" t="s">
        <v>73</v>
      </c>
      <c r="G2655" s="0" t="s">
        <v>74</v>
      </c>
      <c r="H2655" s="3">
        <v>115</v>
      </c>
    </row>
    <row r="2656">
      <c r="A2656" s="0" t="s">
        <v>4783</v>
      </c>
      <c r="B2656" s="0" t="s">
        <v>4784</v>
      </c>
      <c r="C2656" s="5">
        <f>=HYPERLINK("https://nusmods.com/modules/NM2219#timetable","Timetable")</f>
      </c>
      <c r="D2656" s="5">
        <f>=HYPERLINK("https://canvas.nus.edu.sg/courses/22704","Canvas course site")</f>
      </c>
      <c r="E2656" s="5">
        <f>=HYPERLINK("https://luminus.nus.edu.sg/modules/17b7550a-7207-48b9-9f36-64c24da69a18","LumiNUS course site")</f>
      </c>
      <c r="F2656" s="0" t="s">
        <v>73</v>
      </c>
      <c r="G2656" s="0" t="s">
        <v>74</v>
      </c>
      <c r="H2656" s="3">
        <v>63</v>
      </c>
    </row>
    <row r="2657">
      <c r="A2657" s="0" t="s">
        <v>4785</v>
      </c>
      <c r="B2657" s="0" t="s">
        <v>4786</v>
      </c>
      <c r="C2657" s="5">
        <f>=HYPERLINK("https://nusmods.com/modules/NM2220#timetable","Timetable")</f>
      </c>
      <c r="D2657" s="5"/>
      <c r="E2657" s="5">
        <f>=HYPERLINK("https://luminus.nus.edu.sg/modules/406c1732-bb14-4006-a4e7-13dd45e931fe","LumiNUS course site")</f>
      </c>
      <c r="F2657" s="0" t="s">
        <v>73</v>
      </c>
      <c r="G2657" s="0" t="s">
        <v>74</v>
      </c>
      <c r="H2657" s="3">
        <v>64</v>
      </c>
    </row>
    <row r="2658">
      <c r="A2658" s="0" t="s">
        <v>4787</v>
      </c>
      <c r="B2658" s="0" t="s">
        <v>4788</v>
      </c>
      <c r="C2658" s="5">
        <f>=HYPERLINK("https://nusmods.com/modules/NM2223#timetable","Timetable")</f>
      </c>
      <c r="D2658" s="5"/>
      <c r="E2658" s="5">
        <f>=HYPERLINK("https://luminus.nus.edu.sg/modules/1bc05670-ef74-4fc8-8dc9-d69fdff74a30","LumiNUS course site")</f>
      </c>
      <c r="F2658" s="0" t="s">
        <v>73</v>
      </c>
      <c r="G2658" s="0" t="s">
        <v>74</v>
      </c>
      <c r="H2658" s="3">
        <v>37</v>
      </c>
    </row>
    <row r="2659">
      <c r="A2659" s="0" t="s">
        <v>4789</v>
      </c>
      <c r="B2659" s="0" t="s">
        <v>4790</v>
      </c>
      <c r="C2659" s="5">
        <f>=HYPERLINK("https://nusmods.com/modules/NM3205#timetable","Timetable")</f>
      </c>
      <c r="D2659" s="5">
        <f>=HYPERLINK("https://canvas.nus.edu.sg/courses/22721","Canvas course site")</f>
      </c>
      <c r="E2659" s="5">
        <f>=HYPERLINK("https://luminus.nus.edu.sg/modules/bc786e06-ac13-404a-b99e-90d48a56ae1e","LumiNUS course site")</f>
      </c>
      <c r="F2659" s="0" t="s">
        <v>73</v>
      </c>
      <c r="G2659" s="0" t="s">
        <v>74</v>
      </c>
      <c r="H2659" s="3">
        <v>64</v>
      </c>
    </row>
    <row r="2660">
      <c r="A2660" s="0" t="s">
        <v>4791</v>
      </c>
      <c r="B2660" s="0" t="s">
        <v>4792</v>
      </c>
      <c r="C2660" s="5">
        <f>=HYPERLINK("https://nusmods.com/modules/NM3217#timetable","Timetable")</f>
      </c>
      <c r="D2660" s="5"/>
      <c r="E2660" s="5">
        <f>=HYPERLINK("https://luminus.nus.edu.sg/modules/8e6bd920-9801-4d39-8046-d0363d5fefbb","LumiNUS course site")</f>
      </c>
      <c r="F2660" s="0" t="s">
        <v>73</v>
      </c>
      <c r="G2660" s="0" t="s">
        <v>74</v>
      </c>
      <c r="H2660" s="3">
        <v>82</v>
      </c>
    </row>
    <row r="2661">
      <c r="A2661" s="0" t="s">
        <v>4793</v>
      </c>
      <c r="B2661" s="0" t="s">
        <v>4794</v>
      </c>
      <c r="C2661" s="5">
        <f>=HYPERLINK("https://nusmods.com/modules/NM3230#timetable","Timetable")</f>
      </c>
      <c r="D2661" s="5"/>
      <c r="E2661" s="5">
        <f>=HYPERLINK("https://luminus.nus.edu.sg/modules/54a5d318-5285-4641-8b2e-456df1a78ee9","LumiNUS course site")</f>
      </c>
      <c r="F2661" s="0" t="s">
        <v>73</v>
      </c>
      <c r="G2661" s="0" t="s">
        <v>74</v>
      </c>
      <c r="H2661" s="3">
        <v>80</v>
      </c>
    </row>
    <row r="2662">
      <c r="A2662" s="0" t="s">
        <v>4795</v>
      </c>
      <c r="B2662" s="0" t="s">
        <v>4796</v>
      </c>
      <c r="C2662" s="5">
        <f>=HYPERLINK("https://nusmods.com/modules/NM3241#timetable","Timetable")</f>
      </c>
      <c r="D2662" s="5"/>
      <c r="E2662" s="5">
        <f>=HYPERLINK("https://luminus.nus.edu.sg/modules/51aaf683-b15b-4238-bb56-07e27c97bee6","LumiNUS course site")</f>
      </c>
      <c r="F2662" s="0" t="s">
        <v>73</v>
      </c>
      <c r="G2662" s="0" t="s">
        <v>74</v>
      </c>
      <c r="H2662" s="3">
        <v>24</v>
      </c>
    </row>
    <row r="2663">
      <c r="A2663" s="0" t="s">
        <v>4797</v>
      </c>
      <c r="B2663" s="0" t="s">
        <v>4798</v>
      </c>
      <c r="C2663" s="5">
        <f>=HYPERLINK("https://nusmods.com/modules/NM3242#timetable","Timetable")</f>
      </c>
      <c r="D2663" s="5"/>
      <c r="E2663" s="5">
        <f>=HYPERLINK("https://luminus.nus.edu.sg/modules/0aa774ba-f84f-436c-931f-de9b1553a4eb","LumiNUS course site")</f>
      </c>
      <c r="F2663" s="0" t="s">
        <v>73</v>
      </c>
      <c r="G2663" s="0" t="s">
        <v>74</v>
      </c>
      <c r="H2663" s="3">
        <v>31</v>
      </c>
    </row>
    <row r="2664">
      <c r="A2664" s="0" t="s">
        <v>4799</v>
      </c>
      <c r="B2664" s="0" t="s">
        <v>4800</v>
      </c>
      <c r="C2664" s="5">
        <f>=HYPERLINK("https://nusmods.com/modules/NM3243#timetable","Timetable")</f>
      </c>
      <c r="D2664" s="5"/>
      <c r="E2664" s="5">
        <f>=HYPERLINK("https://luminus.nus.edu.sg/modules/d4ddd103-ab22-4e28-b9dd-79488d24bc99","LumiNUS course site")</f>
      </c>
      <c r="F2664" s="0" t="s">
        <v>73</v>
      </c>
      <c r="G2664" s="0" t="s">
        <v>74</v>
      </c>
      <c r="H2664" s="3">
        <v>104</v>
      </c>
    </row>
    <row r="2665">
      <c r="A2665" s="0" t="s">
        <v>4801</v>
      </c>
      <c r="B2665" s="0" t="s">
        <v>4802</v>
      </c>
      <c r="C2665" s="5">
        <f>=HYPERLINK("https://nusmods.com/modules/NM3550Y#timetable","Timetable")</f>
      </c>
      <c r="D2665" s="5"/>
      <c r="E2665" s="5"/>
      <c r="F2665" s="0" t="s">
        <v>73</v>
      </c>
      <c r="G2665" s="0" t="s">
        <v>74</v>
      </c>
      <c r="H2665" s="3">
        <v>105</v>
      </c>
    </row>
    <row r="2666">
      <c r="A2666" s="0" t="s">
        <v>4803</v>
      </c>
      <c r="B2666" s="0" t="s">
        <v>1773</v>
      </c>
      <c r="C2666" s="5">
        <f>=HYPERLINK("https://nusmods.com/modules/NM3551#timetable","Timetable")</f>
      </c>
      <c r="D2666" s="5"/>
      <c r="E2666" s="5"/>
      <c r="F2666" s="0" t="s">
        <v>73</v>
      </c>
      <c r="G2666" s="0" t="s">
        <v>74</v>
      </c>
      <c r="H2666" s="3">
        <v>2</v>
      </c>
    </row>
    <row r="2667">
      <c r="A2667" s="0" t="s">
        <v>4804</v>
      </c>
      <c r="B2667" s="0" t="s">
        <v>4805</v>
      </c>
      <c r="C2667" s="5">
        <f>=HYPERLINK("https://nusmods.com/modules/NM4102#timetable","Timetable")</f>
      </c>
      <c r="D2667" s="5"/>
      <c r="E2667" s="5">
        <f>=HYPERLINK("https://luminus.nus.edu.sg/modules/a993d73e-edbe-44f0-ab3e-b9f3785d435f","LumiNUS course site")</f>
      </c>
      <c r="F2667" s="0" t="s">
        <v>73</v>
      </c>
      <c r="G2667" s="0" t="s">
        <v>74</v>
      </c>
      <c r="H2667" s="3">
        <v>34</v>
      </c>
    </row>
    <row r="2668">
      <c r="A2668" s="0" t="s">
        <v>4806</v>
      </c>
      <c r="B2668" s="0" t="s">
        <v>4807</v>
      </c>
      <c r="C2668" s="5">
        <f>=HYPERLINK("https://nusmods.com/modules/NM4207#timetable","Timetable")</f>
      </c>
      <c r="D2668" s="5"/>
      <c r="E2668" s="5">
        <f>=HYPERLINK("https://luminus.nus.edu.sg/modules/3dce524e-613e-4276-bc78-b63e53da1c06","LumiNUS course site")</f>
      </c>
      <c r="F2668" s="0" t="s">
        <v>73</v>
      </c>
      <c r="G2668" s="0" t="s">
        <v>74</v>
      </c>
      <c r="H2668" s="3">
        <v>43</v>
      </c>
    </row>
    <row r="2669">
      <c r="A2669" s="0" t="s">
        <v>4808</v>
      </c>
      <c r="B2669" s="0" t="s">
        <v>4809</v>
      </c>
      <c r="C2669" s="5">
        <f>=HYPERLINK("https://nusmods.com/modules/NM4208#timetable","Timetable")</f>
      </c>
      <c r="D2669" s="5"/>
      <c r="E2669" s="5">
        <f>=HYPERLINK("https://luminus.nus.edu.sg/modules/98df03be-be40-4f50-8628-5f0f11eaa34d","LumiNUS course site")</f>
      </c>
      <c r="F2669" s="0" t="s">
        <v>73</v>
      </c>
      <c r="G2669" s="0" t="s">
        <v>74</v>
      </c>
      <c r="H2669" s="3">
        <v>50</v>
      </c>
    </row>
    <row r="2670">
      <c r="A2670" s="0" t="s">
        <v>4810</v>
      </c>
      <c r="B2670" s="0" t="s">
        <v>4811</v>
      </c>
      <c r="C2670" s="5">
        <f>=HYPERLINK("https://nusmods.com/modules/NM4212#timetable","Timetable")</f>
      </c>
      <c r="D2670" s="5"/>
      <c r="E2670" s="5">
        <f>=HYPERLINK("https://luminus.nus.edu.sg/modules/191dfe21-d865-44f9-b88b-dd198a304602","LumiNUS course site")</f>
      </c>
      <c r="F2670" s="0" t="s">
        <v>73</v>
      </c>
      <c r="G2670" s="0" t="s">
        <v>74</v>
      </c>
      <c r="H2670" s="3">
        <v>45</v>
      </c>
    </row>
    <row r="2671">
      <c r="A2671" s="0" t="s">
        <v>4812</v>
      </c>
      <c r="B2671" s="0" t="s">
        <v>4813</v>
      </c>
      <c r="C2671" s="5">
        <f>=HYPERLINK("https://nusmods.com/modules/NM4228#timetable","Timetable")</f>
      </c>
      <c r="D2671" s="5"/>
      <c r="E2671" s="5">
        <f>=HYPERLINK("https://luminus.nus.edu.sg/modules/c3759fd1-13ca-4f56-b466-4d67fe7b2e89","LumiNUS course site")</f>
      </c>
      <c r="F2671" s="0" t="s">
        <v>73</v>
      </c>
      <c r="G2671" s="0" t="s">
        <v>74</v>
      </c>
      <c r="H2671" s="3">
        <v>86</v>
      </c>
    </row>
    <row r="2672">
      <c r="A2672" s="0" t="s">
        <v>4814</v>
      </c>
      <c r="B2672" s="0" t="s">
        <v>4815</v>
      </c>
      <c r="C2672" s="5">
        <f>=HYPERLINK("https://nusmods.com/modules/NM4242#timetable","Timetable")</f>
      </c>
      <c r="D2672" s="5"/>
      <c r="E2672" s="5">
        <f>=HYPERLINK("https://luminus.nus.edu.sg/modules/aedad553-1397-43be-aac9-4ab8e461e1a9","LumiNUS course site")</f>
      </c>
      <c r="F2672" s="0" t="s">
        <v>73</v>
      </c>
      <c r="G2672" s="0" t="s">
        <v>74</v>
      </c>
      <c r="H2672" s="3">
        <v>44</v>
      </c>
    </row>
    <row r="2673">
      <c r="A2673" s="0" t="s">
        <v>4816</v>
      </c>
      <c r="B2673" s="0" t="s">
        <v>4817</v>
      </c>
      <c r="C2673" s="5">
        <f>=HYPERLINK("https://nusmods.com/modules/NM4244#timetable","Timetable")</f>
      </c>
      <c r="D2673" s="5"/>
      <c r="E2673" s="5">
        <f>=HYPERLINK("https://luminus.nus.edu.sg/modules/4575297c-be5a-4dc1-9cf1-2822634cd54a","LumiNUS course site")</f>
      </c>
      <c r="F2673" s="0" t="s">
        <v>73</v>
      </c>
      <c r="G2673" s="0" t="s">
        <v>74</v>
      </c>
      <c r="H2673" s="3">
        <v>44</v>
      </c>
    </row>
    <row r="2674">
      <c r="A2674" s="0" t="s">
        <v>4818</v>
      </c>
      <c r="B2674" s="0" t="s">
        <v>4819</v>
      </c>
      <c r="C2674" s="5">
        <f>=HYPERLINK("https://nusmods.com/modules/NM4245#timetable","Timetable")</f>
      </c>
      <c r="D2674" s="5"/>
      <c r="E2674" s="5">
        <f>=HYPERLINK("https://luminus.nus.edu.sg/modules/a85f71e3-4f5c-4d80-b412-06e6099abdff","LumiNUS course site")</f>
      </c>
      <c r="F2674" s="0" t="s">
        <v>73</v>
      </c>
      <c r="G2674" s="0" t="s">
        <v>74</v>
      </c>
      <c r="H2674" s="3">
        <v>41</v>
      </c>
    </row>
    <row r="2675">
      <c r="A2675" s="0" t="s">
        <v>4820</v>
      </c>
      <c r="B2675" s="0" t="s">
        <v>4821</v>
      </c>
      <c r="C2675" s="5">
        <f>=HYPERLINK("https://nusmods.com/modules/NM4247#timetable","Timetable")</f>
      </c>
      <c r="D2675" s="5"/>
      <c r="E2675" s="5">
        <f>=HYPERLINK("https://luminus.nus.edu.sg/modules/ce79a55a-c503-4200-bb33-b4580b5e3fd2","LumiNUS course site")</f>
      </c>
      <c r="F2675" s="0" t="s">
        <v>73</v>
      </c>
      <c r="G2675" s="0" t="s">
        <v>74</v>
      </c>
      <c r="H2675" s="3">
        <v>51</v>
      </c>
    </row>
    <row r="2676">
      <c r="A2676" s="0" t="s">
        <v>4822</v>
      </c>
      <c r="B2676" s="0" t="s">
        <v>4823</v>
      </c>
      <c r="C2676" s="5">
        <f>=HYPERLINK("https://nusmods.com/modules/NM4249#timetable","Timetable")</f>
      </c>
      <c r="D2676" s="5"/>
      <c r="E2676" s="5">
        <f>=HYPERLINK("https://luminus.nus.edu.sg/modules/ae28cf6d-6fff-44c2-b7d9-726501b0230d","LumiNUS course site")</f>
      </c>
      <c r="F2676" s="0" t="s">
        <v>73</v>
      </c>
      <c r="G2676" s="0" t="s">
        <v>74</v>
      </c>
      <c r="H2676" s="3">
        <v>45</v>
      </c>
    </row>
    <row r="2677">
      <c r="A2677" s="0" t="s">
        <v>4824</v>
      </c>
      <c r="B2677" s="0" t="s">
        <v>4825</v>
      </c>
      <c r="C2677" s="5">
        <f>=HYPERLINK("https://nusmods.com/modules/NM4250#timetable","Timetable")</f>
      </c>
      <c r="D2677" s="5"/>
      <c r="E2677" s="5">
        <f>=HYPERLINK("https://luminus.nus.edu.sg/modules/f061502c-fe44-459f-8b30-53b5be74893c","LumiNUS course site")</f>
      </c>
      <c r="F2677" s="0" t="s">
        <v>73</v>
      </c>
      <c r="G2677" s="0" t="s">
        <v>74</v>
      </c>
      <c r="H2677" s="3">
        <v>41</v>
      </c>
    </row>
    <row r="2678">
      <c r="A2678" s="0" t="s">
        <v>4826</v>
      </c>
      <c r="B2678" s="0" t="s">
        <v>4827</v>
      </c>
      <c r="C2678" s="5">
        <f>=HYPERLINK("https://nusmods.com/modules/NM4254#timetable","Timetable")</f>
      </c>
      <c r="D2678" s="5"/>
      <c r="E2678" s="5">
        <f>=HYPERLINK("https://luminus.nus.edu.sg/modules/90abba49-36e7-4add-bfc4-d3b2a4651775","LumiNUS course site")</f>
      </c>
      <c r="F2678" s="0" t="s">
        <v>73</v>
      </c>
      <c r="G2678" s="0" t="s">
        <v>74</v>
      </c>
      <c r="H2678" s="3">
        <v>40</v>
      </c>
    </row>
    <row r="2679">
      <c r="A2679" s="0" t="s">
        <v>4828</v>
      </c>
      <c r="B2679" s="0" t="s">
        <v>4829</v>
      </c>
      <c r="C2679" s="5">
        <f>=HYPERLINK("https://nusmods.com/modules/NM4259#timetable","Timetable")</f>
      </c>
      <c r="D2679" s="5"/>
      <c r="E2679" s="5">
        <f>=HYPERLINK("https://luminus.nus.edu.sg/modules/36db75c7-d0ae-4fb7-b33d-ce2943bf5688","LumiNUS course site")</f>
      </c>
      <c r="F2679" s="0" t="s">
        <v>73</v>
      </c>
      <c r="G2679" s="0" t="s">
        <v>74</v>
      </c>
      <c r="H2679" s="3">
        <v>44</v>
      </c>
    </row>
    <row r="2680">
      <c r="A2680" s="0" t="s">
        <v>4830</v>
      </c>
      <c r="B2680" s="0" t="s">
        <v>4831</v>
      </c>
      <c r="C2680" s="5">
        <f>=HYPERLINK("https://nusmods.com/modules/NM4260#timetable","Timetable")</f>
      </c>
      <c r="D2680" s="5"/>
      <c r="E2680" s="5">
        <f>=HYPERLINK("https://luminus.nus.edu.sg/modules/4cc65ed3-38ce-4505-b0bb-444ac706e913","LumiNUS course site")</f>
      </c>
      <c r="F2680" s="0" t="s">
        <v>73</v>
      </c>
      <c r="G2680" s="0" t="s">
        <v>74</v>
      </c>
      <c r="H2680" s="3">
        <v>39</v>
      </c>
    </row>
    <row r="2681">
      <c r="A2681" s="0" t="s">
        <v>4832</v>
      </c>
      <c r="B2681" s="0" t="s">
        <v>980</v>
      </c>
      <c r="C2681" s="5">
        <f>=HYPERLINK("https://nusmods.com/modules/NM4401#timetable","Timetable")</f>
      </c>
      <c r="D2681" s="5"/>
      <c r="E2681" s="5">
        <f>=HYPERLINK("https://luminus.nus.edu.sg/modules/89b690f4-fe2a-4fd8-8abb-723d19988ea6","LumiNUS course site")</f>
      </c>
      <c r="F2681" s="0" t="s">
        <v>73</v>
      </c>
      <c r="G2681" s="0" t="s">
        <v>74</v>
      </c>
      <c r="H2681" s="3">
        <v>41</v>
      </c>
    </row>
    <row r="2682">
      <c r="A2682" s="0" t="s">
        <v>4833</v>
      </c>
      <c r="B2682" s="0" t="s">
        <v>602</v>
      </c>
      <c r="C2682" s="5">
        <f>=HYPERLINK("https://nusmods.com/modules/NM4660#timetable","Timetable")</f>
      </c>
      <c r="D2682" s="5"/>
      <c r="E2682" s="5"/>
      <c r="F2682" s="0" t="s">
        <v>73</v>
      </c>
      <c r="G2682" s="0" t="s">
        <v>74</v>
      </c>
      <c r="H2682" s="3">
        <v>0</v>
      </c>
    </row>
    <row r="2683">
      <c r="A2683" s="0" t="s">
        <v>4834</v>
      </c>
      <c r="B2683" s="0" t="s">
        <v>4835</v>
      </c>
      <c r="C2683" s="5">
        <f>=HYPERLINK("https://nusmods.com/modules/NM5218#timetable","Timetable")</f>
      </c>
      <c r="D2683" s="5"/>
      <c r="E2683" s="5">
        <f>=HYPERLINK("https://luminus.nus.edu.sg/modules/12959aad-7667-4321-9a47-95c2ae3d53b5","LumiNUS course site")</f>
      </c>
      <c r="F2683" s="0" t="s">
        <v>73</v>
      </c>
      <c r="G2683" s="0" t="s">
        <v>74</v>
      </c>
      <c r="H2683" s="3">
        <v>56</v>
      </c>
    </row>
    <row r="2684">
      <c r="A2684" s="0" t="s">
        <v>4836</v>
      </c>
      <c r="B2684" s="0" t="s">
        <v>4835</v>
      </c>
      <c r="C2684" s="5">
        <f>=HYPERLINK("https://nusmods.com/modules/NM5218R#timetable","Timetable")</f>
      </c>
      <c r="D2684" s="5"/>
      <c r="E2684" s="5">
        <f>=HYPERLINK("https://luminus.nus.edu.sg/modules/12959aad-7667-4321-9a47-95c2ae3d53b5","LumiNUS course site")</f>
      </c>
      <c r="F2684" s="0" t="s">
        <v>73</v>
      </c>
      <c r="G2684" s="0" t="s">
        <v>74</v>
      </c>
      <c r="H2684" s="3">
        <v>0</v>
      </c>
    </row>
    <row r="2685">
      <c r="A2685" s="0" t="s">
        <v>4837</v>
      </c>
      <c r="B2685" s="0" t="s">
        <v>989</v>
      </c>
      <c r="C2685" s="5">
        <f>=HYPERLINK("https://nusmods.com/modules/NM5660#timetable","Timetable")</f>
      </c>
      <c r="D2685" s="5"/>
      <c r="E2685" s="5"/>
      <c r="F2685" s="0" t="s">
        <v>73</v>
      </c>
      <c r="G2685" s="0" t="s">
        <v>74</v>
      </c>
      <c r="H2685" s="3">
        <v>6</v>
      </c>
    </row>
    <row r="2686">
      <c r="A2686" s="0" t="s">
        <v>4838</v>
      </c>
      <c r="B2686" s="0" t="s">
        <v>4839</v>
      </c>
      <c r="C2686" s="5">
        <f>=HYPERLINK("https://nusmods.com/modules/NM6101#timetable","Timetable")</f>
      </c>
      <c r="D2686" s="5"/>
      <c r="E2686" s="5">
        <f>=HYPERLINK("https://luminus.nus.edu.sg/modules/fb08f8de-e62a-4543-8f60-dd588db93e51","LumiNUS course site")</f>
      </c>
      <c r="F2686" s="0" t="s">
        <v>73</v>
      </c>
      <c r="G2686" s="0" t="s">
        <v>74</v>
      </c>
      <c r="H2686" s="3">
        <v>12</v>
      </c>
    </row>
    <row r="2687">
      <c r="A2687" s="0" t="s">
        <v>4840</v>
      </c>
      <c r="B2687" s="0" t="s">
        <v>4841</v>
      </c>
      <c r="C2687" s="5">
        <f>=HYPERLINK("https://nusmods.com/modules/NM6104#timetable","Timetable")</f>
      </c>
      <c r="D2687" s="5"/>
      <c r="E2687" s="5">
        <f>=HYPERLINK("https://luminus.nus.edu.sg/modules/aa4a19ed-01ff-4948-9b2a-253bead07778","LumiNUS course site")</f>
      </c>
      <c r="F2687" s="0" t="s">
        <v>73</v>
      </c>
      <c r="G2687" s="0" t="s">
        <v>74</v>
      </c>
      <c r="H2687" s="3">
        <v>9</v>
      </c>
    </row>
    <row r="2688">
      <c r="A2688" s="0" t="s">
        <v>4842</v>
      </c>
      <c r="B2688" s="0" t="s">
        <v>989</v>
      </c>
      <c r="C2688" s="5">
        <f>=HYPERLINK("https://nusmods.com/modules/NM6660#timetable","Timetable")</f>
      </c>
      <c r="D2688" s="5"/>
      <c r="E2688" s="5"/>
      <c r="F2688" s="0" t="s">
        <v>73</v>
      </c>
      <c r="G2688" s="0" t="s">
        <v>74</v>
      </c>
      <c r="H2688" s="3">
        <v>1</v>
      </c>
    </row>
    <row r="2689">
      <c r="A2689" s="0" t="s">
        <v>4843</v>
      </c>
      <c r="B2689" s="0" t="s">
        <v>4844</v>
      </c>
      <c r="C2689" s="5">
        <f>=HYPERLINK("https://nusmods.com/modules/NMC5301#timetable","Timetable")</f>
      </c>
      <c r="D2689" s="5"/>
      <c r="E2689" s="5">
        <f>=HYPERLINK("https://luminus.nus.edu.sg/modules/ca1b033a-d50c-49a9-bf5c-e54f52855e0c","LumiNUS course site")</f>
      </c>
      <c r="F2689" s="0" t="s">
        <v>73</v>
      </c>
      <c r="G2689" s="0" t="s">
        <v>74</v>
      </c>
      <c r="H2689" s="3">
        <v>85</v>
      </c>
    </row>
    <row r="2690">
      <c r="A2690" s="0" t="s">
        <v>4845</v>
      </c>
      <c r="B2690" s="0" t="s">
        <v>4846</v>
      </c>
      <c r="C2690" s="5">
        <f>=HYPERLINK("https://nusmods.com/modules/NMC5302#timetable","Timetable")</f>
      </c>
      <c r="D2690" s="5"/>
      <c r="E2690" s="5">
        <f>=HYPERLINK("https://luminus.nus.edu.sg/modules/37bac31c-20da-4649-8f18-790157699e95","LumiNUS course site")</f>
      </c>
      <c r="F2690" s="0" t="s">
        <v>73</v>
      </c>
      <c r="G2690" s="0" t="s">
        <v>74</v>
      </c>
      <c r="H2690" s="3">
        <v>88</v>
      </c>
    </row>
    <row r="2691">
      <c r="A2691" s="0" t="s">
        <v>4847</v>
      </c>
      <c r="B2691" s="0" t="s">
        <v>4848</v>
      </c>
      <c r="C2691" s="5">
        <f>=HYPERLINK("https://nusmods.com/modules/NMC5306#timetable","Timetable")</f>
      </c>
      <c r="D2691" s="5"/>
      <c r="E2691" s="5">
        <f>=HYPERLINK("https://luminus.nus.edu.sg/modules/4545f27e-3d95-48ba-bd6d-507a8be9c4cd","LumiNUS course site")</f>
      </c>
      <c r="F2691" s="0" t="s">
        <v>73</v>
      </c>
      <c r="G2691" s="0" t="s">
        <v>74</v>
      </c>
      <c r="H2691" s="3">
        <v>81</v>
      </c>
    </row>
    <row r="2692">
      <c r="A2692" s="0" t="s">
        <v>4849</v>
      </c>
      <c r="B2692" s="0" t="s">
        <v>4850</v>
      </c>
      <c r="C2692" s="5">
        <f>=HYPERLINK("https://nusmods.com/modules/NMC5307#timetable","Timetable")</f>
      </c>
      <c r="D2692" s="5"/>
      <c r="E2692" s="5">
        <f>=HYPERLINK("https://luminus.nus.edu.sg/modules/17757781-a51a-48d2-a8e8-717cbf3d3532","LumiNUS course site")</f>
      </c>
      <c r="F2692" s="0" t="s">
        <v>73</v>
      </c>
      <c r="G2692" s="0" t="s">
        <v>74</v>
      </c>
      <c r="H2692" s="3">
        <v>20</v>
      </c>
    </row>
    <row r="2693">
      <c r="A2693" s="0" t="s">
        <v>4851</v>
      </c>
      <c r="B2693" s="0" t="s">
        <v>4852</v>
      </c>
      <c r="C2693" s="5">
        <f>=HYPERLINK("https://nusmods.com/modules/NMC5322#timetable","Timetable")</f>
      </c>
      <c r="D2693" s="5"/>
      <c r="E2693" s="5">
        <f>=HYPERLINK("https://luminus.nus.edu.sg/modules/21686b21-8fe6-4ec7-a269-a65303c7b289","LumiNUS course site")</f>
      </c>
      <c r="F2693" s="0" t="s">
        <v>73</v>
      </c>
      <c r="G2693" s="0" t="s">
        <v>74</v>
      </c>
      <c r="H2693" s="3">
        <v>48</v>
      </c>
    </row>
    <row r="2694">
      <c r="A2694" s="0" t="s">
        <v>4853</v>
      </c>
      <c r="B2694" s="0" t="s">
        <v>4854</v>
      </c>
      <c r="C2694" s="5">
        <f>=HYPERLINK("https://nusmods.com/modules/NMC5324#timetable","Timetable")</f>
      </c>
      <c r="D2694" s="5"/>
      <c r="E2694" s="5">
        <f>=HYPERLINK("https://luminus.nus.edu.sg/modules/29525273-915a-4eb8-bc0d-ac911c6773f8","LumiNUS course site")</f>
      </c>
      <c r="F2694" s="0" t="s">
        <v>73</v>
      </c>
      <c r="G2694" s="0" t="s">
        <v>74</v>
      </c>
      <c r="H2694" s="3">
        <v>19</v>
      </c>
    </row>
    <row r="2695">
      <c r="A2695" s="0" t="s">
        <v>4855</v>
      </c>
      <c r="B2695" s="0" t="s">
        <v>4856</v>
      </c>
      <c r="C2695" s="5">
        <f>=HYPERLINK("https://nusmods.com/modules/NMC5342#timetable","Timetable")</f>
      </c>
      <c r="D2695" s="5"/>
      <c r="E2695" s="5">
        <f>=HYPERLINK("https://luminus.nus.edu.sg/modules/26113e49-e44f-4e5e-8e57-240f48bc573e","LumiNUS course site")</f>
      </c>
      <c r="F2695" s="0" t="s">
        <v>73</v>
      </c>
      <c r="G2695" s="0" t="s">
        <v>74</v>
      </c>
      <c r="H2695" s="3">
        <v>42</v>
      </c>
    </row>
    <row r="2696">
      <c r="A2696" s="0" t="s">
        <v>4857</v>
      </c>
      <c r="B2696" s="0" t="s">
        <v>4858</v>
      </c>
      <c r="C2696" s="5">
        <f>=HYPERLINK("https://nusmods.com/modules/NMC5344#timetable","Timetable")</f>
      </c>
      <c r="D2696" s="5"/>
      <c r="E2696" s="5">
        <f>=HYPERLINK("https://luminus.nus.edu.sg/modules/2a5fcbef-324e-492a-8610-6111844c0ae9","LumiNUS course site")</f>
      </c>
      <c r="F2696" s="0" t="s">
        <v>73</v>
      </c>
      <c r="G2696" s="0" t="s">
        <v>74</v>
      </c>
      <c r="H2696" s="3">
        <v>37</v>
      </c>
    </row>
    <row r="2697">
      <c r="A2697" s="0" t="s">
        <v>4859</v>
      </c>
      <c r="B2697" s="0" t="s">
        <v>4860</v>
      </c>
      <c r="C2697" s="5">
        <f>=HYPERLINK("https://nusmods.com/modules/NMC5367#timetable","Timetable")</f>
      </c>
      <c r="D2697" s="5">
        <f>=HYPERLINK("https://canvas.nus.edu.sg/courses/22904","Canvas course site")</f>
      </c>
      <c r="E2697" s="5">
        <f>=HYPERLINK("https://luminus.nus.edu.sg/modules/d0d2be23-da2e-41f6-94a9-78ae03bda818","LumiNUS course site")</f>
      </c>
      <c r="F2697" s="0" t="s">
        <v>73</v>
      </c>
      <c r="G2697" s="0" t="s">
        <v>74</v>
      </c>
      <c r="H2697" s="3">
        <v>37</v>
      </c>
    </row>
    <row r="2698">
      <c r="A2698" s="0" t="s">
        <v>4861</v>
      </c>
      <c r="B2698" s="0" t="s">
        <v>4862</v>
      </c>
      <c r="C2698" s="5">
        <f>=HYPERLINK("https://nusmods.com/modules/NST3901#timetable","Timetable")</f>
      </c>
      <c r="D2698" s="5"/>
      <c r="E2698" s="5"/>
      <c r="F2698" s="0" t="s">
        <v>2451</v>
      </c>
      <c r="G2698" s="0" t="s">
        <v>2452</v>
      </c>
      <c r="H2698" s="3">
        <v>15</v>
      </c>
    </row>
    <row r="2699">
      <c r="A2699" s="0" t="s">
        <v>4863</v>
      </c>
      <c r="B2699" s="0" t="s">
        <v>4862</v>
      </c>
      <c r="C2699" s="5">
        <f>=HYPERLINK("https://nusmods.com/modules/NST3902#timetable","Timetable")</f>
      </c>
      <c r="D2699" s="5"/>
      <c r="E2699" s="5"/>
      <c r="F2699" s="0" t="s">
        <v>2451</v>
      </c>
      <c r="G2699" s="0" t="s">
        <v>2452</v>
      </c>
      <c r="H2699" s="3">
        <v>0</v>
      </c>
    </row>
    <row r="2700">
      <c r="A2700" s="0" t="s">
        <v>4864</v>
      </c>
      <c r="B2700" s="0" t="s">
        <v>4865</v>
      </c>
      <c r="C2700" s="5">
        <f>=HYPERLINK("https://nusmods.com/modules/NSW2001A#timetable","Timetable")</f>
      </c>
      <c r="D2700" s="5">
        <f>=HYPERLINK("https://canvas.nus.edu.sg/courses/35362","Canvas course site")</f>
      </c>
      <c r="E2700" s="5"/>
      <c r="F2700" s="0" t="s">
        <v>2451</v>
      </c>
      <c r="G2700" s="0" t="s">
        <v>2452</v>
      </c>
      <c r="H2700" s="3">
        <v>20</v>
      </c>
    </row>
    <row r="2701">
      <c r="A2701" s="0" t="s">
        <v>4866</v>
      </c>
      <c r="B2701" s="0" t="s">
        <v>4865</v>
      </c>
      <c r="C2701" s="5">
        <f>=HYPERLINK("https://nusmods.com/modules/NSW2001B#timetable","Timetable")</f>
      </c>
      <c r="D2701" s="5">
        <f>=HYPERLINK("https://canvas.nus.edu.sg/courses/35363","Canvas course site")</f>
      </c>
      <c r="E2701" s="5"/>
      <c r="F2701" s="0" t="s">
        <v>2451</v>
      </c>
      <c r="G2701" s="0" t="s">
        <v>2452</v>
      </c>
      <c r="H2701" s="3">
        <v>20</v>
      </c>
    </row>
    <row r="2702">
      <c r="A2702" s="0" t="s">
        <v>4867</v>
      </c>
      <c r="B2702" s="0" t="s">
        <v>4865</v>
      </c>
      <c r="C2702" s="5">
        <f>=HYPERLINK("https://nusmods.com/modules/NSW2001C#timetable","Timetable")</f>
      </c>
      <c r="D2702" s="5">
        <f>=HYPERLINK("https://canvas.nus.edu.sg/courses/35364","Canvas course site")</f>
      </c>
      <c r="E2702" s="5"/>
      <c r="F2702" s="0" t="s">
        <v>2451</v>
      </c>
      <c r="G2702" s="0" t="s">
        <v>2452</v>
      </c>
      <c r="H2702" s="3">
        <v>20</v>
      </c>
    </row>
    <row r="2703">
      <c r="A2703" s="0" t="s">
        <v>4868</v>
      </c>
      <c r="B2703" s="0" t="s">
        <v>4865</v>
      </c>
      <c r="C2703" s="5">
        <f>=HYPERLINK("https://nusmods.com/modules/NSW2001D#timetable","Timetable")</f>
      </c>
      <c r="D2703" s="5">
        <f>=HYPERLINK("https://canvas.nus.edu.sg/courses/35365","Canvas course site")</f>
      </c>
      <c r="E2703" s="5"/>
      <c r="F2703" s="0" t="s">
        <v>2451</v>
      </c>
      <c r="G2703" s="0" t="s">
        <v>2452</v>
      </c>
      <c r="H2703" s="3">
        <v>20</v>
      </c>
    </row>
    <row r="2704">
      <c r="A2704" s="0" t="s">
        <v>4869</v>
      </c>
      <c r="B2704" s="0" t="s">
        <v>4865</v>
      </c>
      <c r="C2704" s="5">
        <f>=HYPERLINK("https://nusmods.com/modules/NSW2001E#timetable","Timetable")</f>
      </c>
      <c r="D2704" s="5">
        <f>=HYPERLINK("https://canvas.nus.edu.sg/courses/35366","Canvas course site")</f>
      </c>
      <c r="E2704" s="5"/>
      <c r="F2704" s="0" t="s">
        <v>2451</v>
      </c>
      <c r="G2704" s="0" t="s">
        <v>2452</v>
      </c>
      <c r="H2704" s="3">
        <v>21</v>
      </c>
    </row>
    <row r="2705">
      <c r="A2705" s="0" t="s">
        <v>4870</v>
      </c>
      <c r="B2705" s="0" t="s">
        <v>4865</v>
      </c>
      <c r="C2705" s="5">
        <f>=HYPERLINK("https://nusmods.com/modules/NSW2001F#timetable","Timetable")</f>
      </c>
      <c r="D2705" s="5">
        <f>=HYPERLINK("https://canvas.nus.edu.sg/courses/35367","Canvas course site")</f>
      </c>
      <c r="E2705" s="5"/>
      <c r="F2705" s="0" t="s">
        <v>2451</v>
      </c>
      <c r="G2705" s="0" t="s">
        <v>2452</v>
      </c>
      <c r="H2705" s="3">
        <v>17</v>
      </c>
    </row>
    <row r="2706">
      <c r="A2706" s="0" t="s">
        <v>4871</v>
      </c>
      <c r="B2706" s="0" t="s">
        <v>4865</v>
      </c>
      <c r="C2706" s="5">
        <f>=HYPERLINK("https://nusmods.com/modules/NSW2001G#timetable","Timetable")</f>
      </c>
      <c r="D2706" s="5">
        <f>=HYPERLINK("https://canvas.nus.edu.sg/courses/35368","Canvas course site")</f>
      </c>
      <c r="E2706" s="5"/>
      <c r="F2706" s="0" t="s">
        <v>2451</v>
      </c>
      <c r="G2706" s="0" t="s">
        <v>2452</v>
      </c>
      <c r="H2706" s="3">
        <v>17</v>
      </c>
    </row>
    <row r="2707">
      <c r="A2707" s="0" t="s">
        <v>4872</v>
      </c>
      <c r="B2707" s="0" t="s">
        <v>4865</v>
      </c>
      <c r="C2707" s="5">
        <f>=HYPERLINK("https://nusmods.com/modules/NSW2001H#timetable","Timetable")</f>
      </c>
      <c r="D2707" s="5">
        <f>=HYPERLINK("https://canvas.nus.edu.sg/courses/35369","Canvas course site")</f>
      </c>
      <c r="E2707" s="5"/>
      <c r="F2707" s="0" t="s">
        <v>2451</v>
      </c>
      <c r="G2707" s="0" t="s">
        <v>2452</v>
      </c>
      <c r="H2707" s="3">
        <v>19</v>
      </c>
    </row>
    <row r="2708">
      <c r="A2708" s="0" t="s">
        <v>4873</v>
      </c>
      <c r="B2708" s="0" t="s">
        <v>4865</v>
      </c>
      <c r="C2708" s="5">
        <f>=HYPERLINK("https://nusmods.com/modules/NSW2001I#timetable","Timetable")</f>
      </c>
      <c r="D2708" s="5">
        <f>=HYPERLINK("https://canvas.nus.edu.sg/courses/35370","Canvas course site")</f>
      </c>
      <c r="E2708" s="5"/>
      <c r="F2708" s="0" t="s">
        <v>2451</v>
      </c>
      <c r="G2708" s="0" t="s">
        <v>2452</v>
      </c>
      <c r="H2708" s="3">
        <v>20</v>
      </c>
    </row>
    <row r="2709">
      <c r="A2709" s="0" t="s">
        <v>4874</v>
      </c>
      <c r="B2709" s="0" t="s">
        <v>4865</v>
      </c>
      <c r="C2709" s="5">
        <f>=HYPERLINK("https://nusmods.com/modules/NSW2001J#timetable","Timetable")</f>
      </c>
      <c r="D2709" s="5">
        <f>=HYPERLINK("https://canvas.nus.edu.sg/courses/35371","Canvas course site")</f>
      </c>
      <c r="E2709" s="5"/>
      <c r="F2709" s="0" t="s">
        <v>2451</v>
      </c>
      <c r="G2709" s="0" t="s">
        <v>2452</v>
      </c>
      <c r="H2709" s="3">
        <v>20</v>
      </c>
    </row>
    <row r="2710">
      <c r="A2710" s="0" t="s">
        <v>4875</v>
      </c>
      <c r="B2710" s="0" t="s">
        <v>4865</v>
      </c>
      <c r="C2710" s="5">
        <f>=HYPERLINK("https://nusmods.com/modules/NSW2001K#timetable","Timetable")</f>
      </c>
      <c r="D2710" s="5">
        <f>=HYPERLINK("https://canvas.nus.edu.sg/courses/35372","Canvas course site")</f>
      </c>
      <c r="E2710" s="5"/>
      <c r="F2710" s="0" t="s">
        <v>2451</v>
      </c>
      <c r="G2710" s="0" t="s">
        <v>2452</v>
      </c>
      <c r="H2710" s="3">
        <v>20</v>
      </c>
    </row>
    <row r="2711">
      <c r="A2711" s="0" t="s">
        <v>4876</v>
      </c>
      <c r="B2711" s="0" t="s">
        <v>4877</v>
      </c>
      <c r="C2711" s="5">
        <f>=HYPERLINK("https://nusmods.com/modules/NTW2006#timetable","Timetable")</f>
      </c>
      <c r="D2711" s="5">
        <f>=HYPERLINK("https://canvas.nus.edu.sg/courses/26834","Canvas course site")</f>
      </c>
      <c r="E2711" s="5"/>
      <c r="F2711" s="0" t="s">
        <v>926</v>
      </c>
      <c r="G2711" s="0" t="s">
        <v>2452</v>
      </c>
      <c r="H2711" s="3">
        <v>24</v>
      </c>
    </row>
    <row r="2712">
      <c r="A2712" s="0" t="s">
        <v>4878</v>
      </c>
      <c r="B2712" s="0" t="s">
        <v>4879</v>
      </c>
      <c r="C2712" s="5">
        <f>=HYPERLINK("https://nusmods.com/modules/NTW2007#timetable","Timetable")</f>
      </c>
      <c r="D2712" s="5">
        <f>=HYPERLINK("https://canvas.nus.edu.sg/courses/26835","Canvas course site")</f>
      </c>
      <c r="E2712" s="5">
        <f>=HYPERLINK("https://luminus.nus.edu.sg/modules/d40ba5f9-a294-4e5f-b1a0-d1cad92ae675","LumiNUS course site")</f>
      </c>
      <c r="F2712" s="0" t="s">
        <v>2451</v>
      </c>
      <c r="G2712" s="0" t="s">
        <v>2452</v>
      </c>
      <c r="H2712" s="3">
        <v>24</v>
      </c>
    </row>
    <row r="2713">
      <c r="A2713" s="0" t="s">
        <v>4880</v>
      </c>
      <c r="B2713" s="0" t="s">
        <v>4881</v>
      </c>
      <c r="C2713" s="5">
        <f>=HYPERLINK("https://nusmods.com/modules/NTW2010#timetable","Timetable")</f>
      </c>
      <c r="D2713" s="5">
        <f>=HYPERLINK("https://canvas.nus.edu.sg/courses/26837","Canvas course site")</f>
      </c>
      <c r="E2713" s="5"/>
      <c r="F2713" s="0" t="s">
        <v>2451</v>
      </c>
      <c r="G2713" s="0" t="s">
        <v>2452</v>
      </c>
      <c r="H2713" s="3">
        <v>24</v>
      </c>
    </row>
    <row r="2714">
      <c r="A2714" s="0" t="s">
        <v>4882</v>
      </c>
      <c r="B2714" s="0" t="s">
        <v>4883</v>
      </c>
      <c r="C2714" s="5">
        <f>=HYPERLINK("https://nusmods.com/modules/NTW2012#timetable","Timetable")</f>
      </c>
      <c r="D2714" s="5">
        <f>=HYPERLINK("https://canvas.nus.edu.sg/courses/26838","Canvas course site")</f>
      </c>
      <c r="E2714" s="5"/>
      <c r="F2714" s="0" t="s">
        <v>2451</v>
      </c>
      <c r="G2714" s="0" t="s">
        <v>2452</v>
      </c>
      <c r="H2714" s="3">
        <v>12</v>
      </c>
    </row>
    <row r="2715">
      <c r="A2715" s="0" t="s">
        <v>4884</v>
      </c>
      <c r="B2715" s="0" t="s">
        <v>4885</v>
      </c>
      <c r="C2715" s="5">
        <f>=HYPERLINK("https://nusmods.com/modules/NTW2028#timetable","Timetable")</f>
      </c>
      <c r="D2715" s="5">
        <f>=HYPERLINK("https://canvas.nus.edu.sg/courses/26839","Canvas course site")</f>
      </c>
      <c r="E2715" s="5"/>
      <c r="F2715" s="0" t="s">
        <v>2451</v>
      </c>
      <c r="G2715" s="0" t="s">
        <v>2452</v>
      </c>
      <c r="H2715" s="3">
        <v>24</v>
      </c>
    </row>
    <row r="2716">
      <c r="A2716" s="0" t="s">
        <v>4886</v>
      </c>
      <c r="B2716" s="0" t="s">
        <v>4887</v>
      </c>
      <c r="C2716" s="5">
        <f>=HYPERLINK("https://nusmods.com/modules/NTW2029#timetable","Timetable")</f>
      </c>
      <c r="D2716" s="5">
        <f>=HYPERLINK("https://canvas.nus.edu.sg/courses/27152","Canvas course site")</f>
      </c>
      <c r="E2716" s="5"/>
      <c r="F2716" s="0" t="s">
        <v>2451</v>
      </c>
      <c r="G2716" s="0" t="s">
        <v>2452</v>
      </c>
      <c r="H2716" s="3">
        <v>23</v>
      </c>
    </row>
    <row r="2717">
      <c r="A2717" s="0" t="s">
        <v>4888</v>
      </c>
      <c r="B2717" s="0" t="s">
        <v>4889</v>
      </c>
      <c r="C2717" s="5">
        <f>=HYPERLINK("https://nusmods.com/modules/NTW2030#timetable","Timetable")</f>
      </c>
      <c r="D2717" s="5">
        <f>=HYPERLINK("https://canvas.nus.edu.sg/courses/27178","Canvas course site")</f>
      </c>
      <c r="E2717" s="5"/>
      <c r="F2717" s="0" t="s">
        <v>2451</v>
      </c>
      <c r="G2717" s="0" t="s">
        <v>2452</v>
      </c>
      <c r="H2717" s="3">
        <v>23</v>
      </c>
    </row>
    <row r="2718">
      <c r="A2718" s="0" t="s">
        <v>4890</v>
      </c>
      <c r="B2718" s="0" t="s">
        <v>4891</v>
      </c>
      <c r="C2718" s="5">
        <f>=HYPERLINK("https://nusmods.com/modules/NTW2031#timetable","Timetable")</f>
      </c>
      <c r="D2718" s="5">
        <f>=HYPERLINK("https://canvas.nus.edu.sg/courses/27179","Canvas course site")</f>
      </c>
      <c r="E2718" s="5"/>
      <c r="F2718" s="0" t="s">
        <v>2451</v>
      </c>
      <c r="G2718" s="0" t="s">
        <v>2452</v>
      </c>
      <c r="H2718" s="3">
        <v>24</v>
      </c>
    </row>
    <row r="2719">
      <c r="A2719" s="0" t="s">
        <v>4892</v>
      </c>
      <c r="B2719" s="0" t="s">
        <v>4893</v>
      </c>
      <c r="C2719" s="5">
        <f>=HYPERLINK("https://nusmods.com/modules/NTW2032#timetable","Timetable")</f>
      </c>
      <c r="D2719" s="5">
        <f>=HYPERLINK("https://canvas.nus.edu.sg/courses/27153","Canvas course site")</f>
      </c>
      <c r="E2719" s="5"/>
      <c r="F2719" s="0" t="s">
        <v>2451</v>
      </c>
      <c r="G2719" s="0" t="s">
        <v>2452</v>
      </c>
      <c r="H2719" s="3">
        <v>24</v>
      </c>
    </row>
    <row r="2720">
      <c r="A2720" s="0" t="s">
        <v>4894</v>
      </c>
      <c r="B2720" s="0" t="s">
        <v>4895</v>
      </c>
      <c r="C2720" s="5">
        <f>=HYPERLINK("https://nusmods.com/modules/NUR1107B#timetable","Timetable")</f>
      </c>
      <c r="D2720" s="5"/>
      <c r="E2720" s="5"/>
      <c r="F2720" s="0" t="s">
        <v>90</v>
      </c>
      <c r="G2720" s="0" t="s">
        <v>4896</v>
      </c>
      <c r="H2720" s="3">
        <v>198</v>
      </c>
    </row>
    <row r="2721">
      <c r="A2721" s="0" t="s">
        <v>4897</v>
      </c>
      <c r="B2721" s="0" t="s">
        <v>4898</v>
      </c>
      <c r="C2721" s="5">
        <f>=HYPERLINK("https://nusmods.com/modules/NUR1108B#timetable","Timetable")</f>
      </c>
      <c r="D2721" s="5"/>
      <c r="E2721" s="5"/>
      <c r="F2721" s="0" t="s">
        <v>90</v>
      </c>
      <c r="G2721" s="0" t="s">
        <v>4896</v>
      </c>
      <c r="H2721" s="3">
        <v>0</v>
      </c>
    </row>
    <row r="2722">
      <c r="A2722" s="0" t="s">
        <v>4899</v>
      </c>
      <c r="B2722" s="0" t="s">
        <v>4900</v>
      </c>
      <c r="C2722" s="5">
        <f>=HYPERLINK("https://nusmods.com/modules/NUR1110A#timetable","Timetable")</f>
      </c>
      <c r="D2722" s="5">
        <f>=HYPERLINK("https://canvas.nus.edu.sg/courses/22523","Canvas course site")</f>
      </c>
      <c r="E2722" s="5"/>
      <c r="F2722" s="0" t="s">
        <v>90</v>
      </c>
      <c r="G2722" s="0" t="s">
        <v>4896</v>
      </c>
      <c r="H2722" s="3">
        <v>198</v>
      </c>
    </row>
    <row r="2723">
      <c r="A2723" s="0" t="s">
        <v>4901</v>
      </c>
      <c r="B2723" s="0" t="s">
        <v>4902</v>
      </c>
      <c r="C2723" s="5">
        <f>=HYPERLINK("https://nusmods.com/modules/NUR1113A#timetable","Timetable")</f>
      </c>
      <c r="D2723" s="5">
        <f>=HYPERLINK("https://canvas.nus.edu.sg/courses/22919","Canvas course site")</f>
      </c>
      <c r="E2723" s="5"/>
      <c r="F2723" s="0" t="s">
        <v>90</v>
      </c>
      <c r="G2723" s="0" t="s">
        <v>4896</v>
      </c>
      <c r="H2723" s="3">
        <v>104</v>
      </c>
    </row>
    <row r="2724">
      <c r="A2724" s="0" t="s">
        <v>4903</v>
      </c>
      <c r="B2724" s="0" t="s">
        <v>4904</v>
      </c>
      <c r="C2724" s="5">
        <f>=HYPERLINK("https://nusmods.com/modules/NUR1114A#timetable","Timetable")</f>
      </c>
      <c r="D2724" s="5">
        <f>=HYPERLINK("https://canvas.nus.edu.sg/courses/22924","Canvas course site")</f>
      </c>
      <c r="E2724" s="5"/>
      <c r="F2724" s="0" t="s">
        <v>90</v>
      </c>
      <c r="G2724" s="0" t="s">
        <v>4896</v>
      </c>
      <c r="H2724" s="3">
        <v>238</v>
      </c>
    </row>
    <row r="2725">
      <c r="A2725" s="0" t="s">
        <v>4905</v>
      </c>
      <c r="B2725" s="0" t="s">
        <v>4906</v>
      </c>
      <c r="C2725" s="5">
        <f>=HYPERLINK("https://nusmods.com/modules/NUR1123#timetable","Timetable")</f>
      </c>
      <c r="D2725" s="5">
        <f>=HYPERLINK("https://canvas.nus.edu.sg/courses/22929","Canvas course site")</f>
      </c>
      <c r="E2725" s="5"/>
      <c r="F2725" s="0" t="s">
        <v>90</v>
      </c>
      <c r="G2725" s="0" t="s">
        <v>4896</v>
      </c>
      <c r="H2725" s="3">
        <v>238</v>
      </c>
    </row>
    <row r="2726">
      <c r="A2726" s="0" t="s">
        <v>4907</v>
      </c>
      <c r="B2726" s="0" t="s">
        <v>4908</v>
      </c>
      <c r="C2726" s="5">
        <f>=HYPERLINK("https://nusmods.com/modules/NUR1125#timetable","Timetable")</f>
      </c>
      <c r="D2726" s="5">
        <f>=HYPERLINK("https://canvas.nus.edu.sg/courses/22934","Canvas course site")</f>
      </c>
      <c r="E2726" s="5"/>
      <c r="F2726" s="0" t="s">
        <v>90</v>
      </c>
      <c r="G2726" s="0" t="s">
        <v>4896</v>
      </c>
      <c r="H2726" s="3">
        <v>158</v>
      </c>
    </row>
    <row r="2727">
      <c r="A2727" s="0" t="s">
        <v>4909</v>
      </c>
      <c r="B2727" s="0" t="s">
        <v>4910</v>
      </c>
      <c r="C2727" s="5">
        <f>=HYPERLINK("https://nusmods.com/modules/NUR1202C#timetable","Timetable")</f>
      </c>
      <c r="D2727" s="5"/>
      <c r="E2727" s="5"/>
      <c r="F2727" s="0" t="s">
        <v>90</v>
      </c>
      <c r="G2727" s="0" t="s">
        <v>4896</v>
      </c>
      <c r="H2727" s="3">
        <v>41</v>
      </c>
    </row>
    <row r="2728">
      <c r="A2728" s="0" t="s">
        <v>4911</v>
      </c>
      <c r="B2728" s="0" t="s">
        <v>4912</v>
      </c>
      <c r="C2728" s="5">
        <f>=HYPERLINK("https://nusmods.com/modules/NUR2106B#timetable","Timetable")</f>
      </c>
      <c r="D2728" s="5"/>
      <c r="E2728" s="5"/>
      <c r="F2728" s="0" t="s">
        <v>90</v>
      </c>
      <c r="G2728" s="0" t="s">
        <v>4896</v>
      </c>
      <c r="H2728" s="3">
        <v>226</v>
      </c>
    </row>
    <row r="2729">
      <c r="A2729" s="0" t="s">
        <v>4913</v>
      </c>
      <c r="B2729" s="0" t="s">
        <v>4914</v>
      </c>
      <c r="C2729" s="5">
        <f>=HYPERLINK("https://nusmods.com/modules/NUR2107B#timetable","Timetable")</f>
      </c>
      <c r="D2729" s="5"/>
      <c r="E2729" s="5"/>
      <c r="F2729" s="0" t="s">
        <v>90</v>
      </c>
      <c r="G2729" s="0" t="s">
        <v>4896</v>
      </c>
      <c r="H2729" s="3">
        <v>225</v>
      </c>
    </row>
    <row r="2730">
      <c r="A2730" s="0" t="s">
        <v>4915</v>
      </c>
      <c r="B2730" s="0" t="s">
        <v>4916</v>
      </c>
      <c r="C2730" s="5">
        <f>=HYPERLINK("https://nusmods.com/modules/NUR2113#timetable","Timetable")</f>
      </c>
      <c r="D2730" s="5">
        <f>=HYPERLINK("https://canvas.nus.edu.sg/courses/22953","Canvas course site")</f>
      </c>
      <c r="E2730" s="5"/>
      <c r="F2730" s="0" t="s">
        <v>90</v>
      </c>
      <c r="G2730" s="0" t="s">
        <v>4896</v>
      </c>
      <c r="H2730" s="3">
        <v>274</v>
      </c>
    </row>
    <row r="2731">
      <c r="A2731" s="0" t="s">
        <v>4917</v>
      </c>
      <c r="B2731" s="0" t="s">
        <v>4918</v>
      </c>
      <c r="C2731" s="5">
        <f>=HYPERLINK("https://nusmods.com/modules/NUR2120#timetable","Timetable")</f>
      </c>
      <c r="D2731" s="5">
        <f>=HYPERLINK("https://canvas.nus.edu.sg/courses/22958","Canvas course site")</f>
      </c>
      <c r="E2731" s="5"/>
      <c r="F2731" s="0" t="s">
        <v>90</v>
      </c>
      <c r="G2731" s="0" t="s">
        <v>4896</v>
      </c>
      <c r="H2731" s="3">
        <v>380</v>
      </c>
    </row>
    <row r="2732">
      <c r="A2732" s="0" t="s">
        <v>4919</v>
      </c>
      <c r="B2732" s="0" t="s">
        <v>4920</v>
      </c>
      <c r="C2732" s="5">
        <f>=HYPERLINK("https://nusmods.com/modules/NUR2203C#timetable","Timetable")</f>
      </c>
      <c r="D2732" s="5"/>
      <c r="E2732" s="5"/>
      <c r="F2732" s="0" t="s">
        <v>90</v>
      </c>
      <c r="G2732" s="0" t="s">
        <v>4896</v>
      </c>
      <c r="H2732" s="3">
        <v>4</v>
      </c>
    </row>
    <row r="2733">
      <c r="A2733" s="0" t="s">
        <v>4921</v>
      </c>
      <c r="B2733" s="0" t="s">
        <v>4922</v>
      </c>
      <c r="C2733" s="5">
        <f>=HYPERLINK("https://nusmods.com/modules/NUR2204C#timetable","Timetable")</f>
      </c>
      <c r="D2733" s="5">
        <f>=HYPERLINK("https://canvas.nus.edu.sg/courses/22963","Canvas course site")</f>
      </c>
      <c r="E2733" s="5"/>
      <c r="F2733" s="0" t="s">
        <v>90</v>
      </c>
      <c r="G2733" s="0" t="s">
        <v>4896</v>
      </c>
      <c r="H2733" s="3">
        <v>274</v>
      </c>
    </row>
    <row r="2734">
      <c r="A2734" s="0" t="s">
        <v>4923</v>
      </c>
      <c r="B2734" s="0" t="s">
        <v>4924</v>
      </c>
      <c r="C2734" s="5">
        <f>=HYPERLINK("https://nusmods.com/modules/NUR2441A#timetable","Timetable")</f>
      </c>
      <c r="D2734" s="5"/>
      <c r="E2734" s="5"/>
      <c r="F2734" s="0" t="s">
        <v>90</v>
      </c>
      <c r="G2734" s="0" t="s">
        <v>4896</v>
      </c>
      <c r="H2734" s="3">
        <v>0</v>
      </c>
    </row>
    <row r="2735">
      <c r="A2735" s="0" t="s">
        <v>4925</v>
      </c>
      <c r="B2735" s="0" t="s">
        <v>4926</v>
      </c>
      <c r="C2735" s="5">
        <f>=HYPERLINK("https://nusmods.com/modules/NUR2500#timetable","Timetable")</f>
      </c>
      <c r="D2735" s="5">
        <f>=HYPERLINK("https://canvas.nus.edu.sg/courses/22973","Canvas course site")</f>
      </c>
      <c r="E2735" s="5"/>
      <c r="F2735" s="0" t="s">
        <v>90</v>
      </c>
      <c r="G2735" s="0" t="s">
        <v>4896</v>
      </c>
      <c r="H2735" s="3">
        <v>89</v>
      </c>
    </row>
    <row r="2736">
      <c r="A2736" s="0" t="s">
        <v>4927</v>
      </c>
      <c r="B2736" s="0" t="s">
        <v>4928</v>
      </c>
      <c r="C2736" s="5">
        <f>=HYPERLINK("https://nusmods.com/modules/NUR2501#timetable","Timetable")</f>
      </c>
      <c r="D2736" s="5">
        <f>=HYPERLINK("https://canvas.nus.edu.sg/courses/22978","Canvas course site")</f>
      </c>
      <c r="E2736" s="5"/>
      <c r="F2736" s="0" t="s">
        <v>90</v>
      </c>
      <c r="G2736" s="0" t="s">
        <v>4896</v>
      </c>
      <c r="H2736" s="3">
        <v>89</v>
      </c>
    </row>
    <row r="2737">
      <c r="A2737" s="0" t="s">
        <v>4929</v>
      </c>
      <c r="B2737" s="0" t="s">
        <v>4930</v>
      </c>
      <c r="C2737" s="5">
        <f>=HYPERLINK("https://nusmods.com/modules/NUR3105B#timetable","Timetable")</f>
      </c>
      <c r="D2737" s="5"/>
      <c r="E2737" s="5"/>
      <c r="F2737" s="0" t="s">
        <v>90</v>
      </c>
      <c r="G2737" s="0" t="s">
        <v>4896</v>
      </c>
      <c r="H2737" s="3">
        <v>224</v>
      </c>
    </row>
    <row r="2738">
      <c r="A2738" s="0" t="s">
        <v>4931</v>
      </c>
      <c r="B2738" s="0" t="s">
        <v>4930</v>
      </c>
      <c r="C2738" s="5">
        <f>=HYPERLINK("https://nusmods.com/modules/NUR3105C#timetable","Timetable")</f>
      </c>
      <c r="D2738" s="5"/>
      <c r="E2738" s="5"/>
      <c r="F2738" s="0" t="s">
        <v>90</v>
      </c>
      <c r="G2738" s="0" t="s">
        <v>4896</v>
      </c>
      <c r="H2738" s="3">
        <v>106</v>
      </c>
    </row>
    <row r="2739">
      <c r="A2739" s="0" t="s">
        <v>4932</v>
      </c>
      <c r="B2739" s="0" t="s">
        <v>4912</v>
      </c>
      <c r="C2739" s="5">
        <f>=HYPERLINK("https://nusmods.com/modules/NUR3106B#timetable","Timetable")</f>
      </c>
      <c r="D2739" s="5"/>
      <c r="E2739" s="5"/>
      <c r="F2739" s="0" t="s">
        <v>90</v>
      </c>
      <c r="G2739" s="0" t="s">
        <v>4896</v>
      </c>
      <c r="H2739" s="3">
        <v>0</v>
      </c>
    </row>
    <row r="2740">
      <c r="A2740" s="0" t="s">
        <v>4933</v>
      </c>
      <c r="B2740" s="0" t="s">
        <v>4934</v>
      </c>
      <c r="C2740" s="5">
        <f>=HYPERLINK("https://nusmods.com/modules/NUR3114#timetable","Timetable")</f>
      </c>
      <c r="D2740" s="5">
        <f>=HYPERLINK("https://canvas.nus.edu.sg/courses/22992","Canvas course site")</f>
      </c>
      <c r="E2740" s="5"/>
      <c r="F2740" s="0" t="s">
        <v>90</v>
      </c>
      <c r="G2740" s="0" t="s">
        <v>4896</v>
      </c>
      <c r="H2740" s="3">
        <v>381</v>
      </c>
    </row>
    <row r="2741">
      <c r="A2741" s="0" t="s">
        <v>4935</v>
      </c>
      <c r="B2741" s="0" t="s">
        <v>4936</v>
      </c>
      <c r="C2741" s="5">
        <f>=HYPERLINK("https://nusmods.com/modules/NUR3117A#timetable","Timetable")</f>
      </c>
      <c r="D2741" s="5">
        <f>=HYPERLINK("https://canvas.nus.edu.sg/courses/22997","Canvas course site")</f>
      </c>
      <c r="E2741" s="5"/>
      <c r="F2741" s="0" t="s">
        <v>90</v>
      </c>
      <c r="G2741" s="0" t="s">
        <v>4896</v>
      </c>
      <c r="H2741" s="3">
        <v>393</v>
      </c>
    </row>
    <row r="2742">
      <c r="A2742" s="0" t="s">
        <v>4937</v>
      </c>
      <c r="B2742" s="0" t="s">
        <v>4938</v>
      </c>
      <c r="C2742" s="5">
        <f>=HYPERLINK("https://nusmods.com/modules/NUR3119#timetable","Timetable")</f>
      </c>
      <c r="D2742" s="5">
        <f>=HYPERLINK("https://canvas.nus.edu.sg/courses/22524","Canvas course site")</f>
      </c>
      <c r="E2742" s="5"/>
      <c r="F2742" s="0" t="s">
        <v>90</v>
      </c>
      <c r="G2742" s="0" t="s">
        <v>4896</v>
      </c>
      <c r="H2742" s="3">
        <v>381</v>
      </c>
    </row>
    <row r="2743">
      <c r="A2743" s="0" t="s">
        <v>4939</v>
      </c>
      <c r="B2743" s="0" t="s">
        <v>4940</v>
      </c>
      <c r="C2743" s="5">
        <f>=HYPERLINK("https://nusmods.com/modules/NUR3120#timetable","Timetable")</f>
      </c>
      <c r="D2743" s="5">
        <f>=HYPERLINK("https://canvas.nus.edu.sg/courses/23003","Canvas course site")</f>
      </c>
      <c r="E2743" s="5"/>
      <c r="F2743" s="0" t="s">
        <v>90</v>
      </c>
      <c r="G2743" s="0" t="s">
        <v>4896</v>
      </c>
      <c r="H2743" s="3">
        <v>381</v>
      </c>
    </row>
    <row r="2744">
      <c r="A2744" s="0" t="s">
        <v>4941</v>
      </c>
      <c r="B2744" s="0" t="s">
        <v>4942</v>
      </c>
      <c r="C2744" s="5">
        <f>=HYPERLINK("https://nusmods.com/modules/NUR3202C#timetable","Timetable")</f>
      </c>
      <c r="D2744" s="5">
        <f>=HYPERLINK("https://canvas.nus.edu.sg/courses/23008","Canvas course site")</f>
      </c>
      <c r="E2744" s="5"/>
      <c r="F2744" s="0" t="s">
        <v>90</v>
      </c>
      <c r="G2744" s="0" t="s">
        <v>4896</v>
      </c>
      <c r="H2744" s="3">
        <v>381</v>
      </c>
    </row>
    <row r="2745">
      <c r="A2745" s="0" t="s">
        <v>4943</v>
      </c>
      <c r="B2745" s="0" t="s">
        <v>4944</v>
      </c>
      <c r="C2745" s="5">
        <f>=HYPERLINK("https://nusmods.com/modules/NUR3204C#timetable","Timetable")</f>
      </c>
      <c r="D2745" s="5"/>
      <c r="E2745" s="5"/>
      <c r="F2745" s="0" t="s">
        <v>90</v>
      </c>
      <c r="G2745" s="0" t="s">
        <v>4896</v>
      </c>
      <c r="H2745" s="3">
        <v>51</v>
      </c>
    </row>
    <row r="2746">
      <c r="A2746" s="0" t="s">
        <v>4945</v>
      </c>
      <c r="B2746" s="0" t="s">
        <v>4946</v>
      </c>
      <c r="C2746" s="5">
        <f>=HYPERLINK("https://nusmods.com/modules/NUR3500#timetable","Timetable")</f>
      </c>
      <c r="D2746" s="5">
        <f>=HYPERLINK("https://canvas.nus.edu.sg/courses/23016","Canvas course site")</f>
      </c>
      <c r="E2746" s="5"/>
      <c r="F2746" s="0" t="s">
        <v>90</v>
      </c>
      <c r="G2746" s="0" t="s">
        <v>4896</v>
      </c>
      <c r="H2746" s="3">
        <v>113</v>
      </c>
    </row>
    <row r="2747">
      <c r="A2747" s="0" t="s">
        <v>4947</v>
      </c>
      <c r="B2747" s="0" t="s">
        <v>4948</v>
      </c>
      <c r="C2747" s="5">
        <f>=HYPERLINK("https://nusmods.com/modules/NUR3501#timetable","Timetable")</f>
      </c>
      <c r="D2747" s="5">
        <f>=HYPERLINK("https://canvas.nus.edu.sg/courses/23021","Canvas course site")</f>
      </c>
      <c r="E2747" s="5"/>
      <c r="F2747" s="0" t="s">
        <v>90</v>
      </c>
      <c r="G2747" s="0" t="s">
        <v>4896</v>
      </c>
      <c r="H2747" s="3">
        <v>113</v>
      </c>
    </row>
    <row r="2748">
      <c r="A2748" s="0" t="s">
        <v>4949</v>
      </c>
      <c r="B2748" s="0" t="s">
        <v>4950</v>
      </c>
      <c r="C2748" s="5">
        <f>=HYPERLINK("https://nusmods.com/modules/NUR3504#timetable","Timetable")</f>
      </c>
      <c r="D2748" s="5">
        <f>=HYPERLINK("https://canvas.nus.edu.sg/courses/23026","Canvas course site")</f>
      </c>
      <c r="E2748" s="5"/>
      <c r="F2748" s="0" t="s">
        <v>90</v>
      </c>
      <c r="G2748" s="0" t="s">
        <v>4896</v>
      </c>
      <c r="H2748" s="3">
        <v>59</v>
      </c>
    </row>
    <row r="2749">
      <c r="A2749" s="0" t="s">
        <v>4951</v>
      </c>
      <c r="B2749" s="0" t="s">
        <v>4952</v>
      </c>
      <c r="C2749" s="5">
        <f>=HYPERLINK("https://nusmods.com/modules/NUR3505#timetable","Timetable")</f>
      </c>
      <c r="D2749" s="5">
        <f>=HYPERLINK("https://canvas.nus.edu.sg/courses/23031","Canvas course site")</f>
      </c>
      <c r="E2749" s="5"/>
      <c r="F2749" s="0" t="s">
        <v>90</v>
      </c>
      <c r="G2749" s="0" t="s">
        <v>4896</v>
      </c>
      <c r="H2749" s="3">
        <v>59</v>
      </c>
    </row>
    <row r="2750">
      <c r="A2750" s="0" t="s">
        <v>4953</v>
      </c>
      <c r="B2750" s="0" t="s">
        <v>4954</v>
      </c>
      <c r="C2750" s="5">
        <f>=HYPERLINK("https://nusmods.com/modules/NUR4101B#timetable","Timetable")</f>
      </c>
      <c r="D2750" s="5">
        <f>=HYPERLINK("https://canvas.nus.edu.sg/courses/23037","Canvas course site")</f>
      </c>
      <c r="E2750" s="5"/>
      <c r="F2750" s="0" t="s">
        <v>90</v>
      </c>
      <c r="G2750" s="0" t="s">
        <v>4896</v>
      </c>
      <c r="H2750" s="3">
        <v>191</v>
      </c>
    </row>
    <row r="2751">
      <c r="A2751" s="0" t="s">
        <v>4955</v>
      </c>
      <c r="B2751" s="0" t="s">
        <v>4956</v>
      </c>
      <c r="C2751" s="5">
        <f>=HYPERLINK("https://nusmods.com/modules/NUR4103B#timetable","Timetable")</f>
      </c>
      <c r="D2751" s="5">
        <f>=HYPERLINK("https://canvas.nus.edu.sg/courses/23042","Canvas course site")</f>
      </c>
      <c r="E2751" s="5"/>
      <c r="F2751" s="0" t="s">
        <v>90</v>
      </c>
      <c r="G2751" s="0" t="s">
        <v>4896</v>
      </c>
      <c r="H2751" s="3">
        <v>191</v>
      </c>
    </row>
    <row r="2752">
      <c r="A2752" s="0" t="s">
        <v>4957</v>
      </c>
      <c r="B2752" s="0" t="s">
        <v>4958</v>
      </c>
      <c r="C2752" s="5">
        <f>=HYPERLINK("https://nusmods.com/modules/NUR4104B#timetable","Timetable")</f>
      </c>
      <c r="D2752" s="5">
        <f>=HYPERLINK("https://canvas.nus.edu.sg/courses/23047","Canvas course site")</f>
      </c>
      <c r="E2752" s="5"/>
      <c r="F2752" s="0" t="s">
        <v>90</v>
      </c>
      <c r="G2752" s="0" t="s">
        <v>4896</v>
      </c>
      <c r="H2752" s="3">
        <v>191</v>
      </c>
    </row>
    <row r="2753">
      <c r="A2753" s="0" t="s">
        <v>4959</v>
      </c>
      <c r="B2753" s="0" t="s">
        <v>602</v>
      </c>
      <c r="C2753" s="5">
        <f>=HYPERLINK("https://nusmods.com/modules/NUR5003#timetable","Timetable")</f>
      </c>
      <c r="D2753" s="5">
        <f>=HYPERLINK("https://canvas.nus.edu.sg/courses/23053","Canvas course site")</f>
      </c>
      <c r="E2753" s="5"/>
      <c r="F2753" s="0" t="s">
        <v>90</v>
      </c>
      <c r="G2753" s="0" t="s">
        <v>4896</v>
      </c>
      <c r="H2753" s="3">
        <v>0</v>
      </c>
    </row>
    <row r="2754">
      <c r="A2754" s="0" t="s">
        <v>4960</v>
      </c>
      <c r="B2754" s="0" t="s">
        <v>4961</v>
      </c>
      <c r="C2754" s="5">
        <f>=HYPERLINK("https://nusmods.com/modules/NUR5610#timetable","Timetable")</f>
      </c>
      <c r="D2754" s="5"/>
      <c r="E2754" s="5"/>
      <c r="F2754" s="0" t="s">
        <v>90</v>
      </c>
      <c r="G2754" s="0" t="s">
        <v>4896</v>
      </c>
      <c r="H2754" s="3">
        <v>0</v>
      </c>
    </row>
    <row r="2755">
      <c r="A2755" s="0" t="s">
        <v>4962</v>
      </c>
      <c r="B2755" s="0" t="s">
        <v>4963</v>
      </c>
      <c r="C2755" s="5">
        <f>=HYPERLINK("https://nusmods.com/modules/NUR5613#timetable","Timetable")</f>
      </c>
      <c r="D2755" s="5"/>
      <c r="E2755" s="5"/>
      <c r="F2755" s="0" t="s">
        <v>90</v>
      </c>
      <c r="G2755" s="0" t="s">
        <v>4896</v>
      </c>
      <c r="H2755" s="3">
        <v>0</v>
      </c>
    </row>
    <row r="2756">
      <c r="A2756" s="0" t="s">
        <v>4964</v>
      </c>
      <c r="B2756" s="0" t="s">
        <v>4965</v>
      </c>
      <c r="C2756" s="5">
        <f>=HYPERLINK("https://nusmods.com/modules/NUR5703#timetable","Timetable")</f>
      </c>
      <c r="D2756" s="5"/>
      <c r="E2756" s="5"/>
      <c r="F2756" s="0" t="s">
        <v>90</v>
      </c>
      <c r="G2756" s="0" t="s">
        <v>4896</v>
      </c>
      <c r="H2756" s="3">
        <v>12</v>
      </c>
    </row>
    <row r="2757">
      <c r="A2757" s="0" t="s">
        <v>4966</v>
      </c>
      <c r="B2757" s="0" t="s">
        <v>4967</v>
      </c>
      <c r="C2757" s="5">
        <f>=HYPERLINK("https://nusmods.com/modules/NUR5704#timetable","Timetable")</f>
      </c>
      <c r="D2757" s="5"/>
      <c r="E2757" s="5"/>
      <c r="F2757" s="0" t="s">
        <v>90</v>
      </c>
      <c r="G2757" s="0" t="s">
        <v>4896</v>
      </c>
      <c r="H2757" s="3">
        <v>12</v>
      </c>
    </row>
    <row r="2758">
      <c r="A2758" s="0" t="s">
        <v>4968</v>
      </c>
      <c r="B2758" s="0" t="s">
        <v>4969</v>
      </c>
      <c r="C2758" s="5">
        <f>=HYPERLINK("https://nusmods.com/modules/NUR5711#timetable","Timetable")</f>
      </c>
      <c r="D2758" s="5">
        <f>=HYPERLINK("https://canvas.nus.edu.sg/courses/23076","Canvas course site")</f>
      </c>
      <c r="E2758" s="5"/>
      <c r="F2758" s="0" t="s">
        <v>90</v>
      </c>
      <c r="G2758" s="0" t="s">
        <v>4896</v>
      </c>
      <c r="H2758" s="3">
        <v>18</v>
      </c>
    </row>
    <row r="2759">
      <c r="A2759" s="0" t="s">
        <v>4970</v>
      </c>
      <c r="B2759" s="0" t="s">
        <v>4971</v>
      </c>
      <c r="C2759" s="5">
        <f>=HYPERLINK("https://nusmods.com/modules/NUR5712#timetable","Timetable")</f>
      </c>
      <c r="D2759" s="5"/>
      <c r="E2759" s="5"/>
      <c r="F2759" s="0" t="s">
        <v>90</v>
      </c>
      <c r="G2759" s="0" t="s">
        <v>4896</v>
      </c>
      <c r="H2759" s="3">
        <v>18</v>
      </c>
    </row>
    <row r="2760">
      <c r="A2760" s="0" t="s">
        <v>4972</v>
      </c>
      <c r="B2760" s="0" t="s">
        <v>4973</v>
      </c>
      <c r="C2760" s="5">
        <f>=HYPERLINK("https://nusmods.com/modules/NUR5802G#timetable","Timetable")</f>
      </c>
      <c r="D2760" s="5"/>
      <c r="E2760" s="5"/>
      <c r="F2760" s="0" t="s">
        <v>90</v>
      </c>
      <c r="G2760" s="0" t="s">
        <v>4896</v>
      </c>
      <c r="H2760" s="3">
        <v>29</v>
      </c>
    </row>
    <row r="2761">
      <c r="A2761" s="0" t="s">
        <v>4974</v>
      </c>
      <c r="B2761" s="0" t="s">
        <v>4975</v>
      </c>
      <c r="C2761" s="5">
        <f>=HYPERLINK("https://nusmods.com/modules/NUR5803G#timetable","Timetable")</f>
      </c>
      <c r="D2761" s="5"/>
      <c r="E2761" s="5"/>
      <c r="F2761" s="0" t="s">
        <v>90</v>
      </c>
      <c r="G2761" s="0" t="s">
        <v>4896</v>
      </c>
      <c r="H2761" s="3">
        <v>0</v>
      </c>
    </row>
    <row r="2762">
      <c r="A2762" s="0" t="s">
        <v>4976</v>
      </c>
      <c r="B2762" s="0" t="s">
        <v>4977</v>
      </c>
      <c r="C2762" s="5">
        <f>=HYPERLINK("https://nusmods.com/modules/NUR5804G#timetable","Timetable")</f>
      </c>
      <c r="D2762" s="5"/>
      <c r="E2762" s="5">
        <f>=HYPERLINK("https://luminus.nus.edu.sg/modules/a475b2ba-b032-43e4-9598-45ffa0dcfc35","LumiNUS course site")</f>
      </c>
      <c r="F2762" s="0" t="s">
        <v>90</v>
      </c>
      <c r="G2762" s="0" t="s">
        <v>4896</v>
      </c>
      <c r="H2762" s="3">
        <v>6</v>
      </c>
    </row>
    <row r="2763">
      <c r="A2763" s="0" t="s">
        <v>4978</v>
      </c>
      <c r="B2763" s="0" t="s">
        <v>4979</v>
      </c>
      <c r="C2763" s="5">
        <f>=HYPERLINK("https://nusmods.com/modules/NUR5805G#timetable","Timetable")</f>
      </c>
      <c r="D2763" s="5"/>
      <c r="E2763" s="5">
        <f>=HYPERLINK("https://luminus.nus.edu.sg/modules/3a8e151a-34e5-43e1-a55f-56a3f990ef14","LumiNUS course site")</f>
      </c>
      <c r="F2763" s="0" t="s">
        <v>90</v>
      </c>
      <c r="G2763" s="0" t="s">
        <v>4896</v>
      </c>
      <c r="H2763" s="3">
        <v>6</v>
      </c>
    </row>
    <row r="2764">
      <c r="A2764" s="0" t="s">
        <v>4980</v>
      </c>
      <c r="B2764" s="0" t="s">
        <v>4981</v>
      </c>
      <c r="C2764" s="5">
        <f>=HYPERLINK("https://nusmods.com/modules/NUR5806G#timetable","Timetable")</f>
      </c>
      <c r="D2764" s="5"/>
      <c r="E2764" s="5"/>
      <c r="F2764" s="0" t="s">
        <v>90</v>
      </c>
      <c r="G2764" s="0" t="s">
        <v>4896</v>
      </c>
      <c r="H2764" s="3">
        <v>0</v>
      </c>
    </row>
    <row r="2765">
      <c r="A2765" s="0" t="s">
        <v>4982</v>
      </c>
      <c r="B2765" s="0" t="s">
        <v>4983</v>
      </c>
      <c r="C2765" s="5">
        <f>=HYPERLINK("https://nusmods.com/modules/NUR5808#timetable","Timetable")</f>
      </c>
      <c r="D2765" s="5"/>
      <c r="E2765" s="5">
        <f>=HYPERLINK("https://luminus.nus.edu.sg/modules/4778151f-d883-4447-a2aa-a419d9457f11","LumiNUS course site")</f>
      </c>
      <c r="F2765" s="0" t="s">
        <v>90</v>
      </c>
      <c r="G2765" s="0" t="s">
        <v>4896</v>
      </c>
      <c r="H2765" s="3">
        <v>29</v>
      </c>
    </row>
    <row r="2766">
      <c r="A2766" s="0" t="s">
        <v>4984</v>
      </c>
      <c r="B2766" s="0" t="s">
        <v>4985</v>
      </c>
      <c r="C2766" s="5">
        <f>=HYPERLINK("https://nusmods.com/modules/NUR5811C#timetable","Timetable")</f>
      </c>
      <c r="D2766" s="5"/>
      <c r="E2766" s="5"/>
      <c r="F2766" s="0" t="s">
        <v>90</v>
      </c>
      <c r="G2766" s="0" t="s">
        <v>4896</v>
      </c>
      <c r="H2766" s="3">
        <v>0</v>
      </c>
    </row>
    <row r="2767">
      <c r="A2767" s="0" t="s">
        <v>4986</v>
      </c>
      <c r="B2767" s="0" t="s">
        <v>4070</v>
      </c>
      <c r="C2767" s="5">
        <f>=HYPERLINK("https://nusmods.com/modules/NUR6001#timetable","Timetable")</f>
      </c>
      <c r="D2767" s="5">
        <f>=HYPERLINK("https://canvas.nus.edu.sg/courses/23120","Canvas course site")</f>
      </c>
      <c r="E2767" s="5"/>
      <c r="F2767" s="0" t="s">
        <v>90</v>
      </c>
      <c r="G2767" s="0" t="s">
        <v>4896</v>
      </c>
      <c r="H2767" s="3">
        <v>0</v>
      </c>
    </row>
    <row r="2768">
      <c r="A2768" s="0" t="s">
        <v>4987</v>
      </c>
      <c r="B2768" s="0" t="s">
        <v>4988</v>
      </c>
      <c r="C2768" s="5">
        <f>=HYPERLINK("https://nusmods.com/modules/NUR6003#timetable","Timetable")</f>
      </c>
      <c r="D2768" s="5">
        <f>=HYPERLINK("https://canvas.nus.edu.sg/courses/23125","Canvas course site")</f>
      </c>
      <c r="E2768" s="5"/>
      <c r="F2768" s="0" t="s">
        <v>90</v>
      </c>
      <c r="G2768" s="0" t="s">
        <v>4896</v>
      </c>
      <c r="H2768" s="3">
        <v>6</v>
      </c>
    </row>
    <row r="2769">
      <c r="A2769" s="0" t="s">
        <v>4989</v>
      </c>
      <c r="B2769" s="0" t="s">
        <v>4990</v>
      </c>
      <c r="C2769" s="5">
        <f>=HYPERLINK("https://nusmods.com/modules/NUR6004#timetable","Timetable")</f>
      </c>
      <c r="D2769" s="5">
        <f>=HYPERLINK("https://canvas.nus.edu.sg/courses/23128","Canvas course site")</f>
      </c>
      <c r="E2769" s="5"/>
      <c r="F2769" s="0" t="s">
        <v>90</v>
      </c>
      <c r="G2769" s="0" t="s">
        <v>4896</v>
      </c>
      <c r="H2769" s="3">
        <v>13</v>
      </c>
    </row>
    <row r="2770">
      <c r="A2770" s="0" t="s">
        <v>4991</v>
      </c>
      <c r="B2770" s="0" t="s">
        <v>4992</v>
      </c>
      <c r="C2770" s="5">
        <f>=HYPERLINK("https://nusmods.com/modules/NUR6006#timetable","Timetable")</f>
      </c>
      <c r="D2770" s="5">
        <f>=HYPERLINK("https://canvas.nus.edu.sg/courses/23135","Canvas course site")</f>
      </c>
      <c r="E2770" s="5"/>
      <c r="F2770" s="0" t="s">
        <v>90</v>
      </c>
      <c r="G2770" s="0" t="s">
        <v>4896</v>
      </c>
      <c r="H2770" s="3">
        <v>5</v>
      </c>
    </row>
    <row r="2771">
      <c r="A2771" s="0" t="s">
        <v>4993</v>
      </c>
      <c r="B2771" s="0" t="s">
        <v>365</v>
      </c>
      <c r="C2771" s="5">
        <f>=HYPERLINK("https://nusmods.com/modules/OT5001#timetable","Timetable")</f>
      </c>
      <c r="D2771" s="5"/>
      <c r="E2771" s="5"/>
      <c r="F2771" s="0" t="s">
        <v>10</v>
      </c>
      <c r="G2771" s="0" t="s">
        <v>790</v>
      </c>
      <c r="H2771" s="3">
        <v>0</v>
      </c>
    </row>
    <row r="2772">
      <c r="A2772" s="0" t="s">
        <v>4994</v>
      </c>
      <c r="B2772" s="0" t="s">
        <v>4995</v>
      </c>
      <c r="C2772" s="5">
        <f>=HYPERLINK("https://nusmods.com/modules/OT5001A#timetable","Timetable")</f>
      </c>
      <c r="D2772" s="5"/>
      <c r="E2772" s="5"/>
      <c r="F2772" s="0" t="s">
        <v>10</v>
      </c>
      <c r="G2772" s="0" t="s">
        <v>3008</v>
      </c>
      <c r="H2772" s="3">
        <v>0</v>
      </c>
    </row>
    <row r="2773">
      <c r="A2773" s="0" t="s">
        <v>4996</v>
      </c>
      <c r="B2773" s="0" t="s">
        <v>4997</v>
      </c>
      <c r="C2773" s="5">
        <f>=HYPERLINK("https://nusmods.com/modules/OT5001B#timetable","Timetable")</f>
      </c>
      <c r="D2773" s="5"/>
      <c r="E2773" s="5"/>
      <c r="F2773" s="0" t="s">
        <v>10</v>
      </c>
      <c r="G2773" s="0" t="s">
        <v>790</v>
      </c>
      <c r="H2773" s="3">
        <v>0</v>
      </c>
    </row>
    <row r="2774">
      <c r="A2774" s="0" t="s">
        <v>4998</v>
      </c>
      <c r="B2774" s="0" t="s">
        <v>4999</v>
      </c>
      <c r="C2774" s="5">
        <f>=HYPERLINK("https://nusmods.com/modules/OT5102#timetable","Timetable")</f>
      </c>
      <c r="D2774" s="5">
        <f>=HYPERLINK("https://canvas.nus.edu.sg/courses/23155","Canvas course site")</f>
      </c>
      <c r="E2774" s="5">
        <f>=HYPERLINK("https://luminus.nus.edu.sg/modules/9e628d07-463f-45a8-8c4e-4f891d596474","LumiNUS course site")</f>
      </c>
      <c r="F2774" s="0" t="s">
        <v>10</v>
      </c>
      <c r="G2774" s="0" t="s">
        <v>3008</v>
      </c>
      <c r="H2774" s="3">
        <v>57</v>
      </c>
    </row>
    <row r="2775">
      <c r="A2775" s="0" t="s">
        <v>5000</v>
      </c>
      <c r="B2775" s="0" t="s">
        <v>5001</v>
      </c>
      <c r="C2775" s="5">
        <f>=HYPERLINK("https://nusmods.com/modules/PC1101#timetable","Timetable")</f>
      </c>
      <c r="D2775" s="5"/>
      <c r="E2775" s="5">
        <f>=HYPERLINK("https://luminus.nus.edu.sg/modules/5dfb37b4-2d55-4c5f-9fb9-54c99b38027c","LumiNUS course site")</f>
      </c>
      <c r="F2775" s="0" t="s">
        <v>266</v>
      </c>
      <c r="G2775" s="0" t="s">
        <v>1230</v>
      </c>
      <c r="H2775" s="3">
        <v>136</v>
      </c>
    </row>
    <row r="2776">
      <c r="A2776" s="0" t="s">
        <v>5002</v>
      </c>
      <c r="B2776" s="0" t="s">
        <v>5003</v>
      </c>
      <c r="C2776" s="5">
        <f>=HYPERLINK("https://nusmods.com/modules/PC1201#timetable","Timetable")</f>
      </c>
      <c r="D2776" s="5">
        <f>=HYPERLINK("https://canvas.nus.edu.sg/courses/23160","Canvas course site")</f>
      </c>
      <c r="E2776" s="5"/>
      <c r="F2776" s="0" t="s">
        <v>266</v>
      </c>
      <c r="G2776" s="0" t="s">
        <v>1230</v>
      </c>
      <c r="H2776" s="3">
        <v>200</v>
      </c>
    </row>
    <row r="2777">
      <c r="A2777" s="0" t="s">
        <v>5004</v>
      </c>
      <c r="B2777" s="0" t="s">
        <v>5005</v>
      </c>
      <c r="C2777" s="5">
        <f>=HYPERLINK("https://nusmods.com/modules/PC1421#timetable","Timetable")</f>
      </c>
      <c r="D2777" s="5"/>
      <c r="E2777" s="5">
        <f>=HYPERLINK("https://luminus.nus.edu.sg/modules/fd8a17e1-eeb9-4d3e-9acc-1df7706beed9","LumiNUS course site")</f>
      </c>
      <c r="F2777" s="0" t="s">
        <v>266</v>
      </c>
      <c r="G2777" s="0" t="s">
        <v>1230</v>
      </c>
      <c r="H2777" s="3">
        <v>49</v>
      </c>
    </row>
    <row r="2778">
      <c r="A2778" s="0" t="s">
        <v>5006</v>
      </c>
      <c r="B2778" s="0" t="s">
        <v>5007</v>
      </c>
      <c r="C2778" s="5">
        <f>=HYPERLINK("https://nusmods.com/modules/PC2020#timetable","Timetable")</f>
      </c>
      <c r="D2778" s="5"/>
      <c r="E2778" s="5">
        <f>=HYPERLINK("https://luminus.nus.edu.sg/modules/355a834f-eaae-4722-9d4e-c097b7b79d25","LumiNUS course site")</f>
      </c>
      <c r="F2778" s="0" t="s">
        <v>266</v>
      </c>
      <c r="G2778" s="0" t="s">
        <v>1230</v>
      </c>
      <c r="H2778" s="3">
        <v>24</v>
      </c>
    </row>
    <row r="2779">
      <c r="A2779" s="0" t="s">
        <v>5008</v>
      </c>
      <c r="B2779" s="0" t="s">
        <v>5009</v>
      </c>
      <c r="C2779" s="5">
        <f>=HYPERLINK("https://nusmods.com/modules/PC2031#timetable","Timetable")</f>
      </c>
      <c r="D2779" s="5"/>
      <c r="E2779" s="5">
        <f>=HYPERLINK("https://luminus.nus.edu.sg/modules/6340a4d2-7e40-4f11-ba2c-539c85675062","LumiNUS course site")</f>
      </c>
      <c r="F2779" s="0" t="s">
        <v>266</v>
      </c>
      <c r="G2779" s="0" t="s">
        <v>1230</v>
      </c>
      <c r="H2779" s="3">
        <v>31</v>
      </c>
    </row>
    <row r="2780">
      <c r="A2780" s="0" t="s">
        <v>5010</v>
      </c>
      <c r="B2780" s="0" t="s">
        <v>5011</v>
      </c>
      <c r="C2780" s="5">
        <f>=HYPERLINK("https://nusmods.com/modules/PC2032#timetable","Timetable")</f>
      </c>
      <c r="D2780" s="5"/>
      <c r="E2780" s="5">
        <f>=HYPERLINK("https://luminus.nus.edu.sg/modules/85a3e5a3-6afc-49b6-9670-9c61a4991ea1","LumiNUS course site")</f>
      </c>
      <c r="F2780" s="0" t="s">
        <v>266</v>
      </c>
      <c r="G2780" s="0" t="s">
        <v>1230</v>
      </c>
      <c r="H2780" s="3">
        <v>30</v>
      </c>
    </row>
    <row r="2781">
      <c r="A2781" s="0" t="s">
        <v>5012</v>
      </c>
      <c r="B2781" s="0" t="s">
        <v>5013</v>
      </c>
      <c r="C2781" s="5">
        <f>=HYPERLINK("https://nusmods.com/modules/PC2130#timetable","Timetable")</f>
      </c>
      <c r="D2781" s="5">
        <f>=HYPERLINK("https://canvas.nus.edu.sg/courses/23184","Canvas course site")</f>
      </c>
      <c r="E2781" s="5"/>
      <c r="F2781" s="0" t="s">
        <v>266</v>
      </c>
      <c r="G2781" s="0" t="s">
        <v>1230</v>
      </c>
      <c r="H2781" s="3">
        <v>36</v>
      </c>
    </row>
    <row r="2782">
      <c r="A2782" s="0" t="s">
        <v>5014</v>
      </c>
      <c r="B2782" s="0" t="s">
        <v>5015</v>
      </c>
      <c r="C2782" s="5">
        <f>=HYPERLINK("https://nusmods.com/modules/PC2174A#timetable","Timetable")</f>
      </c>
      <c r="D2782" s="5">
        <f>=HYPERLINK("https://canvas.nus.edu.sg/courses/23188","Canvas course site")</f>
      </c>
      <c r="E2782" s="5"/>
      <c r="F2782" s="0" t="s">
        <v>266</v>
      </c>
      <c r="G2782" s="0" t="s">
        <v>1230</v>
      </c>
      <c r="H2782" s="3">
        <v>42</v>
      </c>
    </row>
    <row r="2783">
      <c r="A2783" s="0" t="s">
        <v>5016</v>
      </c>
      <c r="B2783" s="0" t="s">
        <v>5017</v>
      </c>
      <c r="C2783" s="5">
        <f>=HYPERLINK("https://nusmods.com/modules/PC2193#timetable","Timetable")</f>
      </c>
      <c r="D2783" s="5">
        <f>=HYPERLINK("https://canvas.nus.edu.sg/courses/23193","Canvas course site")</f>
      </c>
      <c r="E2783" s="5"/>
      <c r="F2783" s="0" t="s">
        <v>266</v>
      </c>
      <c r="G2783" s="0" t="s">
        <v>1230</v>
      </c>
      <c r="H2783" s="3">
        <v>41</v>
      </c>
    </row>
    <row r="2784">
      <c r="A2784" s="0" t="s">
        <v>5018</v>
      </c>
      <c r="B2784" s="0" t="s">
        <v>5019</v>
      </c>
      <c r="C2784" s="5">
        <f>=HYPERLINK("https://nusmods.com/modules/PC2239#timetable","Timetable")</f>
      </c>
      <c r="D2784" s="5"/>
      <c r="E2784" s="5"/>
      <c r="F2784" s="0" t="s">
        <v>266</v>
      </c>
      <c r="G2784" s="0" t="s">
        <v>1230</v>
      </c>
      <c r="H2784" s="3">
        <v>0</v>
      </c>
    </row>
    <row r="2785">
      <c r="A2785" s="0" t="s">
        <v>5020</v>
      </c>
      <c r="B2785" s="0" t="s">
        <v>5021</v>
      </c>
      <c r="C2785" s="5">
        <f>=HYPERLINK("https://nusmods.com/modules/PC2267#timetable","Timetable")</f>
      </c>
      <c r="D2785" s="5">
        <f>=HYPERLINK("https://canvas.nus.edu.sg/courses/23203","Canvas course site")</f>
      </c>
      <c r="E2785" s="5">
        <f>=HYPERLINK("https://luminus.nus.edu.sg/modules/14a17005-9389-4d4e-bb7a-def7ade7b78e","LumiNUS course site")</f>
      </c>
      <c r="F2785" s="0" t="s">
        <v>266</v>
      </c>
      <c r="G2785" s="0" t="s">
        <v>1230</v>
      </c>
      <c r="H2785" s="3">
        <v>19</v>
      </c>
    </row>
    <row r="2786">
      <c r="A2786" s="0" t="s">
        <v>5022</v>
      </c>
      <c r="B2786" s="0" t="s">
        <v>5023</v>
      </c>
      <c r="C2786" s="5">
        <f>=HYPERLINK("https://nusmods.com/modules/PC2288#timetable","Timetable")</f>
      </c>
      <c r="D2786" s="5"/>
      <c r="E2786" s="5"/>
      <c r="F2786" s="0" t="s">
        <v>266</v>
      </c>
      <c r="G2786" s="0" t="s">
        <v>1230</v>
      </c>
      <c r="H2786" s="3">
        <v>4</v>
      </c>
    </row>
    <row r="2787">
      <c r="A2787" s="0" t="s">
        <v>5024</v>
      </c>
      <c r="B2787" s="0" t="s">
        <v>5025</v>
      </c>
      <c r="C2787" s="5">
        <f>=HYPERLINK("https://nusmods.com/modules/PC2289#timetable","Timetable")</f>
      </c>
      <c r="D2787" s="5"/>
      <c r="E2787" s="5"/>
      <c r="F2787" s="0" t="s">
        <v>266</v>
      </c>
      <c r="G2787" s="0" t="s">
        <v>1230</v>
      </c>
      <c r="H2787" s="3">
        <v>3</v>
      </c>
    </row>
    <row r="2788">
      <c r="A2788" s="0" t="s">
        <v>5026</v>
      </c>
      <c r="B2788" s="0" t="s">
        <v>5027</v>
      </c>
      <c r="C2788" s="5">
        <f>=HYPERLINK("https://nusmods.com/modules/PC2411#timetable","Timetable")</f>
      </c>
      <c r="D2788" s="5">
        <f>=HYPERLINK("https://canvas.nus.edu.sg/courses/23218","Canvas course site")</f>
      </c>
      <c r="E2788" s="5">
        <f>=HYPERLINK("https://luminus.nus.edu.sg/modules/127a6996-79f1-4313-958e-f4dded7ea575","LumiNUS course site")</f>
      </c>
      <c r="F2788" s="0" t="s">
        <v>266</v>
      </c>
      <c r="G2788" s="0" t="s">
        <v>1230</v>
      </c>
      <c r="H2788" s="3">
        <v>10</v>
      </c>
    </row>
    <row r="2789">
      <c r="A2789" s="0" t="s">
        <v>5028</v>
      </c>
      <c r="B2789" s="0" t="s">
        <v>5029</v>
      </c>
      <c r="C2789" s="5">
        <f>=HYPERLINK("https://nusmods.com/modules/PC3130#timetable","Timetable")</f>
      </c>
      <c r="D2789" s="5"/>
      <c r="E2789" s="5">
        <f>=HYPERLINK("https://luminus.nus.edu.sg/modules/75cdcc8b-978a-4dde-986d-a8abacbb1962","LumiNUS course site")</f>
      </c>
      <c r="F2789" s="0" t="s">
        <v>266</v>
      </c>
      <c r="G2789" s="0" t="s">
        <v>1230</v>
      </c>
      <c r="H2789" s="3">
        <v>57</v>
      </c>
    </row>
    <row r="2790">
      <c r="A2790" s="0" t="s">
        <v>5030</v>
      </c>
      <c r="B2790" s="0" t="s">
        <v>5031</v>
      </c>
      <c r="C2790" s="5">
        <f>=HYPERLINK("https://nusmods.com/modules/PC3193#timetable","Timetable")</f>
      </c>
      <c r="D2790" s="5">
        <f>=HYPERLINK("https://canvas.nus.edu.sg/courses/22527","Canvas course site")</f>
      </c>
      <c r="E2790" s="5">
        <f>=HYPERLINK("https://luminus.nus.edu.sg/modules/2baff8c8-f184-4699-b1ba-4341350f9158","LumiNUS course site")</f>
      </c>
      <c r="F2790" s="0" t="s">
        <v>266</v>
      </c>
      <c r="G2790" s="0" t="s">
        <v>1230</v>
      </c>
      <c r="H2790" s="3">
        <v>27</v>
      </c>
    </row>
    <row r="2791">
      <c r="A2791" s="0" t="s">
        <v>5032</v>
      </c>
      <c r="B2791" s="0" t="s">
        <v>5033</v>
      </c>
      <c r="C2791" s="5">
        <f>=HYPERLINK("https://nusmods.com/modules/PC3231#timetable","Timetable")</f>
      </c>
      <c r="D2791" s="5"/>
      <c r="E2791" s="5">
        <f>=HYPERLINK("https://luminus.nus.edu.sg/modules/9dae7c76-5bf8-416f-8e61-f050ec61b638","LumiNUS course site")</f>
      </c>
      <c r="F2791" s="0" t="s">
        <v>266</v>
      </c>
      <c r="G2791" s="0" t="s">
        <v>1230</v>
      </c>
      <c r="H2791" s="3">
        <v>20</v>
      </c>
    </row>
    <row r="2792">
      <c r="A2792" s="0" t="s">
        <v>5034</v>
      </c>
      <c r="B2792" s="0" t="s">
        <v>5035</v>
      </c>
      <c r="C2792" s="5">
        <f>=HYPERLINK("https://nusmods.com/modules/PC3235#timetable","Timetable")</f>
      </c>
      <c r="D2792" s="5"/>
      <c r="E2792" s="5">
        <f>=HYPERLINK("https://luminus.nus.edu.sg/modules/620a4463-308b-4065-bc9a-fd999eb99566","LumiNUS course site")</f>
      </c>
      <c r="F2792" s="0" t="s">
        <v>266</v>
      </c>
      <c r="G2792" s="0" t="s">
        <v>1230</v>
      </c>
      <c r="H2792" s="3">
        <v>44</v>
      </c>
    </row>
    <row r="2793">
      <c r="A2793" s="0" t="s">
        <v>5036</v>
      </c>
      <c r="B2793" s="0" t="s">
        <v>5037</v>
      </c>
      <c r="C2793" s="5">
        <f>=HYPERLINK("https://nusmods.com/modules/PC3238#timetable","Timetable")</f>
      </c>
      <c r="D2793" s="5"/>
      <c r="E2793" s="5">
        <f>=HYPERLINK("https://luminus.nus.edu.sg/modules/0f2d9bd4-696e-4315-bddb-02759f8f6757","LumiNUS course site")</f>
      </c>
      <c r="F2793" s="0" t="s">
        <v>266</v>
      </c>
      <c r="G2793" s="0" t="s">
        <v>1230</v>
      </c>
      <c r="H2793" s="3">
        <v>16</v>
      </c>
    </row>
    <row r="2794">
      <c r="A2794" s="0" t="s">
        <v>5038</v>
      </c>
      <c r="B2794" s="0" t="s">
        <v>5039</v>
      </c>
      <c r="C2794" s="5">
        <f>=HYPERLINK("https://nusmods.com/modules/PC3239#timetable","Timetable")</f>
      </c>
      <c r="D2794" s="5"/>
      <c r="E2794" s="5"/>
      <c r="F2794" s="0" t="s">
        <v>266</v>
      </c>
      <c r="G2794" s="0" t="s">
        <v>1230</v>
      </c>
      <c r="H2794" s="3">
        <v>0</v>
      </c>
    </row>
    <row r="2795">
      <c r="A2795" s="0" t="s">
        <v>5040</v>
      </c>
      <c r="B2795" s="0" t="s">
        <v>5041</v>
      </c>
      <c r="C2795" s="5">
        <f>=HYPERLINK("https://nusmods.com/modules/PC3242#timetable","Timetable")</f>
      </c>
      <c r="D2795" s="5"/>
      <c r="E2795" s="5">
        <f>=HYPERLINK("https://luminus.nus.edu.sg/modules/bd1d8d12-6ff4-4fb0-8d6f-32b455d9dd87","LumiNUS course site")</f>
      </c>
      <c r="F2795" s="0" t="s">
        <v>266</v>
      </c>
      <c r="G2795" s="0" t="s">
        <v>1230</v>
      </c>
      <c r="H2795" s="3">
        <v>18</v>
      </c>
    </row>
    <row r="2796">
      <c r="A2796" s="0" t="s">
        <v>5042</v>
      </c>
      <c r="B2796" s="0" t="s">
        <v>5043</v>
      </c>
      <c r="C2796" s="5">
        <f>=HYPERLINK("https://nusmods.com/modules/PC3247#timetable","Timetable")</f>
      </c>
      <c r="D2796" s="5"/>
      <c r="E2796" s="5">
        <f>=HYPERLINK("https://luminus.nus.edu.sg/modules/35a7fd02-2ae7-496a-b052-a313b841376d","LumiNUS course site")</f>
      </c>
      <c r="F2796" s="0" t="s">
        <v>266</v>
      </c>
      <c r="G2796" s="0" t="s">
        <v>1230</v>
      </c>
      <c r="H2796" s="3">
        <v>22</v>
      </c>
    </row>
    <row r="2797">
      <c r="A2797" s="0" t="s">
        <v>5044</v>
      </c>
      <c r="B2797" s="0" t="s">
        <v>5045</v>
      </c>
      <c r="C2797" s="5">
        <f>=HYPERLINK("https://nusmods.com/modules/PC3261#timetable","Timetable")</f>
      </c>
      <c r="D2797" s="5">
        <f>=HYPERLINK("https://canvas.nus.edu.sg/courses/23265","Canvas course site")</f>
      </c>
      <c r="E2797" s="5"/>
      <c r="F2797" s="0" t="s">
        <v>266</v>
      </c>
      <c r="G2797" s="0" t="s">
        <v>1230</v>
      </c>
      <c r="H2797" s="3">
        <v>16</v>
      </c>
    </row>
    <row r="2798">
      <c r="A2798" s="0" t="s">
        <v>5046</v>
      </c>
      <c r="B2798" s="0" t="s">
        <v>5047</v>
      </c>
      <c r="C2798" s="5">
        <f>=HYPERLINK("https://nusmods.com/modules/PC3288#timetable","Timetable")</f>
      </c>
      <c r="D2798" s="5"/>
      <c r="E2798" s="5"/>
      <c r="F2798" s="0" t="s">
        <v>266</v>
      </c>
      <c r="G2798" s="0" t="s">
        <v>1230</v>
      </c>
      <c r="H2798" s="3">
        <v>14</v>
      </c>
    </row>
    <row r="2799">
      <c r="A2799" s="0" t="s">
        <v>5048</v>
      </c>
      <c r="B2799" s="0" t="s">
        <v>5049</v>
      </c>
      <c r="C2799" s="5">
        <f>=HYPERLINK("https://nusmods.com/modules/PC3289#timetable","Timetable")</f>
      </c>
      <c r="D2799" s="5"/>
      <c r="E2799" s="5"/>
      <c r="F2799" s="0" t="s">
        <v>266</v>
      </c>
      <c r="G2799" s="0" t="s">
        <v>1230</v>
      </c>
      <c r="H2799" s="3">
        <v>3</v>
      </c>
    </row>
    <row r="2800">
      <c r="A2800" s="0" t="s">
        <v>5050</v>
      </c>
      <c r="B2800" s="0" t="s">
        <v>5051</v>
      </c>
      <c r="C2800" s="5">
        <f>=HYPERLINK("https://nusmods.com/modules/PC3294#timetable","Timetable")</f>
      </c>
      <c r="D2800" s="5">
        <f>=HYPERLINK("https://canvas.nus.edu.sg/courses/23280","Canvas course site")</f>
      </c>
      <c r="E2800" s="5"/>
      <c r="F2800" s="0" t="s">
        <v>266</v>
      </c>
      <c r="G2800" s="0" t="s">
        <v>1230</v>
      </c>
      <c r="H2800" s="3">
        <v>9</v>
      </c>
    </row>
    <row r="2801">
      <c r="A2801" s="0" t="s">
        <v>5052</v>
      </c>
      <c r="B2801" s="0" t="s">
        <v>1089</v>
      </c>
      <c r="C2801" s="5">
        <f>=HYPERLINK("https://nusmods.com/modules/PC3312#timetable","Timetable")</f>
      </c>
      <c r="D2801" s="5"/>
      <c r="E2801" s="5"/>
      <c r="F2801" s="0" t="s">
        <v>266</v>
      </c>
      <c r="G2801" s="0" t="s">
        <v>1230</v>
      </c>
      <c r="H2801" s="3">
        <v>1</v>
      </c>
    </row>
    <row r="2802">
      <c r="A2802" s="0" t="s">
        <v>5053</v>
      </c>
      <c r="B2802" s="0" t="s">
        <v>5054</v>
      </c>
      <c r="C2802" s="5">
        <f>=HYPERLINK("https://nusmods.com/modules/PC4199#timetable","Timetable")</f>
      </c>
      <c r="D2802" s="5"/>
      <c r="E2802" s="5"/>
      <c r="F2802" s="0" t="s">
        <v>266</v>
      </c>
      <c r="G2802" s="0" t="s">
        <v>1230</v>
      </c>
      <c r="H2802" s="3">
        <v>30</v>
      </c>
    </row>
    <row r="2803">
      <c r="A2803" s="0" t="s">
        <v>5055</v>
      </c>
      <c r="B2803" s="0" t="s">
        <v>5056</v>
      </c>
      <c r="C2803" s="5">
        <f>=HYPERLINK("https://nusmods.com/modules/PC4199R#timetable","Timetable")</f>
      </c>
      <c r="D2803" s="5"/>
      <c r="E2803" s="5"/>
      <c r="F2803" s="0" t="s">
        <v>266</v>
      </c>
      <c r="G2803" s="0" t="s">
        <v>1230</v>
      </c>
      <c r="H2803" s="3">
        <v>0</v>
      </c>
    </row>
    <row r="2804">
      <c r="A2804" s="0" t="s">
        <v>5057</v>
      </c>
      <c r="B2804" s="0" t="s">
        <v>5058</v>
      </c>
      <c r="C2804" s="5">
        <f>=HYPERLINK("https://nusmods.com/modules/PC4230#timetable","Timetable")</f>
      </c>
      <c r="D2804" s="5"/>
      <c r="E2804" s="5">
        <f>=HYPERLINK("https://luminus.nus.edu.sg/modules/c17d519d-c4e9-4fb2-b112-3ba942aa80e5","LumiNUS course site")</f>
      </c>
      <c r="F2804" s="0" t="s">
        <v>266</v>
      </c>
      <c r="G2804" s="0" t="s">
        <v>1230</v>
      </c>
      <c r="H2804" s="3">
        <v>34</v>
      </c>
    </row>
    <row r="2805">
      <c r="A2805" s="0" t="s">
        <v>5059</v>
      </c>
      <c r="B2805" s="0" t="s">
        <v>5060</v>
      </c>
      <c r="C2805" s="5">
        <f>=HYPERLINK("https://nusmods.com/modules/PC4236#timetable","Timetable")</f>
      </c>
      <c r="D2805" s="5"/>
      <c r="E2805" s="5">
        <f>=HYPERLINK("https://luminus.nus.edu.sg/modules/0064db37-22d2-4558-9be6-a7dbc3967b51","LumiNUS course site")</f>
      </c>
      <c r="F2805" s="0" t="s">
        <v>266</v>
      </c>
      <c r="G2805" s="0" t="s">
        <v>1230</v>
      </c>
      <c r="H2805" s="3">
        <v>17</v>
      </c>
    </row>
    <row r="2806">
      <c r="A2806" s="0" t="s">
        <v>5061</v>
      </c>
      <c r="B2806" s="0" t="s">
        <v>5062</v>
      </c>
      <c r="C2806" s="5">
        <f>=HYPERLINK("https://nusmods.com/modules/PC4240#timetable","Timetable")</f>
      </c>
      <c r="D2806" s="5"/>
      <c r="E2806" s="5">
        <f>=HYPERLINK("https://luminus.nus.edu.sg/modules/1e14c60b-d747-4911-89bc-cdb140075eb6","LumiNUS course site")</f>
      </c>
      <c r="F2806" s="0" t="s">
        <v>266</v>
      </c>
      <c r="G2806" s="0" t="s">
        <v>1230</v>
      </c>
      <c r="H2806" s="3">
        <v>27</v>
      </c>
    </row>
    <row r="2807">
      <c r="A2807" s="0" t="s">
        <v>5063</v>
      </c>
      <c r="B2807" s="0" t="s">
        <v>5064</v>
      </c>
      <c r="C2807" s="5">
        <f>=HYPERLINK("https://nusmods.com/modules/PC4248#timetable","Timetable")</f>
      </c>
      <c r="D2807" s="5">
        <f>=HYPERLINK("https://canvas.nus.edu.sg/courses/23309","Canvas course site")</f>
      </c>
      <c r="E2807" s="5"/>
      <c r="F2807" s="0" t="s">
        <v>266</v>
      </c>
      <c r="G2807" s="0" t="s">
        <v>1230</v>
      </c>
      <c r="H2807" s="3">
        <v>28</v>
      </c>
    </row>
    <row r="2808">
      <c r="A2808" s="0" t="s">
        <v>5065</v>
      </c>
      <c r="B2808" s="0" t="s">
        <v>5066</v>
      </c>
      <c r="C2808" s="5">
        <f>=HYPERLINK("https://nusmods.com/modules/PC4249#timetable","Timetable")</f>
      </c>
      <c r="D2808" s="5"/>
      <c r="E2808" s="5">
        <f>=HYPERLINK("https://luminus.nus.edu.sg/modules/9d83be0a-c377-445e-88e2-c77834634288","LumiNUS course site")</f>
      </c>
      <c r="F2808" s="0" t="s">
        <v>266</v>
      </c>
      <c r="G2808" s="0" t="s">
        <v>1230</v>
      </c>
      <c r="H2808" s="3">
        <v>16</v>
      </c>
    </row>
    <row r="2809">
      <c r="A2809" s="0" t="s">
        <v>5067</v>
      </c>
      <c r="B2809" s="0" t="s">
        <v>5068</v>
      </c>
      <c r="C2809" s="5">
        <f>=HYPERLINK("https://nusmods.com/modules/PC4267#timetable","Timetable")</f>
      </c>
      <c r="D2809" s="5"/>
      <c r="E2809" s="5">
        <f>=HYPERLINK("https://luminus.nus.edu.sg/modules/fec283ee-00e7-44e2-bbf5-5a55a6daa26d","LumiNUS course site")</f>
      </c>
      <c r="F2809" s="0" t="s">
        <v>266</v>
      </c>
      <c r="G2809" s="0" t="s">
        <v>1230</v>
      </c>
      <c r="H2809" s="3">
        <v>7</v>
      </c>
    </row>
    <row r="2810">
      <c r="A2810" s="0" t="s">
        <v>5069</v>
      </c>
      <c r="B2810" s="0" t="s">
        <v>5070</v>
      </c>
      <c r="C2810" s="5">
        <f>=HYPERLINK("https://nusmods.com/modules/PC5101#timetable","Timetable")</f>
      </c>
      <c r="D2810" s="5"/>
      <c r="E2810" s="5">
        <f>=HYPERLINK("https://luminus.nus.edu.sg/modules/b839312f-d364-4d76-84e7-3463b6d3d88f","LumiNUS course site")</f>
      </c>
      <c r="F2810" s="0" t="s">
        <v>266</v>
      </c>
      <c r="G2810" s="0" t="s">
        <v>1230</v>
      </c>
      <c r="H2810" s="3">
        <v>43</v>
      </c>
    </row>
    <row r="2811">
      <c r="A2811" s="0" t="s">
        <v>5071</v>
      </c>
      <c r="B2811" s="0" t="s">
        <v>5072</v>
      </c>
      <c r="C2811" s="5">
        <f>=HYPERLINK("https://nusmods.com/modules/PC5201#timetable","Timetable")</f>
      </c>
      <c r="D2811" s="5"/>
      <c r="E2811" s="5">
        <f>=HYPERLINK("https://luminus.nus.edu.sg/modules/3edb7cb3-4b18-4a04-8e1f-f9356410b1ec","LumiNUS course site")</f>
      </c>
      <c r="F2811" s="0" t="s">
        <v>266</v>
      </c>
      <c r="G2811" s="0" t="s">
        <v>1230</v>
      </c>
      <c r="H2811" s="3">
        <v>28</v>
      </c>
    </row>
    <row r="2812">
      <c r="A2812" s="0" t="s">
        <v>5073</v>
      </c>
      <c r="B2812" s="0" t="s">
        <v>5074</v>
      </c>
      <c r="C2812" s="5">
        <f>=HYPERLINK("https://nusmods.com/modules/PC5203#timetable","Timetable")</f>
      </c>
      <c r="D2812" s="5">
        <f>=HYPERLINK("https://canvas.nus.edu.sg/courses/23334","Canvas course site")</f>
      </c>
      <c r="E2812" s="5"/>
      <c r="F2812" s="0" t="s">
        <v>266</v>
      </c>
      <c r="G2812" s="0" t="s">
        <v>1230</v>
      </c>
      <c r="H2812" s="3">
        <v>16</v>
      </c>
    </row>
    <row r="2813">
      <c r="A2813" s="0" t="s">
        <v>5075</v>
      </c>
      <c r="B2813" s="0" t="s">
        <v>5076</v>
      </c>
      <c r="C2813" s="5">
        <f>=HYPERLINK("https://nusmods.com/modules/PC5204#timetable","Timetable")</f>
      </c>
      <c r="D2813" s="5">
        <f>=HYPERLINK("https://canvas.nus.edu.sg/courses/23344","Canvas course site")</f>
      </c>
      <c r="E2813" s="5">
        <f>=HYPERLINK("https://luminus.nus.edu.sg/modules/5b39c8d7-1d27-4906-81eb-d5b7be362931","LumiNUS course site")</f>
      </c>
      <c r="F2813" s="0" t="s">
        <v>266</v>
      </c>
      <c r="G2813" s="0" t="s">
        <v>1230</v>
      </c>
      <c r="H2813" s="3">
        <v>35</v>
      </c>
    </row>
    <row r="2814">
      <c r="A2814" s="0" t="s">
        <v>5077</v>
      </c>
      <c r="B2814" s="0" t="s">
        <v>5078</v>
      </c>
      <c r="C2814" s="5">
        <f>=HYPERLINK("https://nusmods.com/modules/PC5204B#timetable","Timetable")</f>
      </c>
      <c r="D2814" s="5">
        <f>=HYPERLINK("https://canvas.nus.edu.sg/courses/23344","Canvas course site")</f>
      </c>
      <c r="E2814" s="5"/>
      <c r="F2814" s="0" t="s">
        <v>266</v>
      </c>
      <c r="G2814" s="0" t="s">
        <v>1230</v>
      </c>
      <c r="H2814" s="3">
        <v>6</v>
      </c>
    </row>
    <row r="2815">
      <c r="A2815" s="0" t="s">
        <v>5079</v>
      </c>
      <c r="B2815" s="0" t="s">
        <v>5080</v>
      </c>
      <c r="C2815" s="5">
        <f>=HYPERLINK("https://nusmods.com/modules/PC5205#timetable","Timetable")</f>
      </c>
      <c r="D2815" s="5"/>
      <c r="E2815" s="5">
        <f>=HYPERLINK("https://luminus.nus.edu.sg/modules/36e97118-c2a9-4a61-85eb-12e12026856c","LumiNUS course site")</f>
      </c>
      <c r="F2815" s="0" t="s">
        <v>266</v>
      </c>
      <c r="G2815" s="0" t="s">
        <v>1230</v>
      </c>
      <c r="H2815" s="3">
        <v>38</v>
      </c>
    </row>
    <row r="2816">
      <c r="A2816" s="0" t="s">
        <v>5081</v>
      </c>
      <c r="B2816" s="0" t="s">
        <v>5082</v>
      </c>
      <c r="C2816" s="5">
        <f>=HYPERLINK("https://nusmods.com/modules/PC5207#timetable","Timetable")</f>
      </c>
      <c r="D2816" s="5"/>
      <c r="E2816" s="5">
        <f>=HYPERLINK("https://luminus.nus.edu.sg/modules/8f142ae6-2705-46ef-9390-c19ed793248c","LumiNUS course site")</f>
      </c>
      <c r="F2816" s="0" t="s">
        <v>266</v>
      </c>
      <c r="G2816" s="0" t="s">
        <v>1230</v>
      </c>
      <c r="H2816" s="3">
        <v>18</v>
      </c>
    </row>
    <row r="2817">
      <c r="A2817" s="0" t="s">
        <v>5083</v>
      </c>
      <c r="B2817" s="0" t="s">
        <v>5084</v>
      </c>
      <c r="C2817" s="5">
        <f>=HYPERLINK("https://nusmods.com/modules/PC5209#timetable","Timetable")</f>
      </c>
      <c r="D2817" s="5">
        <f>=HYPERLINK("https://canvas.nus.edu.sg/courses/23357","Canvas course site")</f>
      </c>
      <c r="E2817" s="5">
        <f>=HYPERLINK("https://luminus.nus.edu.sg/modules/10a12b00-6ce9-4a22-b626-43524669c7c9","LumiNUS course site")</f>
      </c>
      <c r="F2817" s="0" t="s">
        <v>266</v>
      </c>
      <c r="G2817" s="0" t="s">
        <v>1230</v>
      </c>
      <c r="H2817" s="3">
        <v>23</v>
      </c>
    </row>
    <row r="2818">
      <c r="A2818" s="0" t="s">
        <v>5085</v>
      </c>
      <c r="B2818" s="0" t="s">
        <v>5086</v>
      </c>
      <c r="C2818" s="5">
        <f>=HYPERLINK("https://nusmods.com/modules/PC5212#timetable","Timetable")</f>
      </c>
      <c r="D2818" s="5"/>
      <c r="E2818" s="5">
        <f>=HYPERLINK("https://luminus.nus.edu.sg/modules/dbb2b678-3f0a-4365-91cd-72ddef0f6290","LumiNUS course site")</f>
      </c>
      <c r="F2818" s="0" t="s">
        <v>266</v>
      </c>
      <c r="G2818" s="0" t="s">
        <v>1230</v>
      </c>
      <c r="H2818" s="3">
        <v>13</v>
      </c>
    </row>
    <row r="2819">
      <c r="A2819" s="0" t="s">
        <v>5087</v>
      </c>
      <c r="B2819" s="0" t="s">
        <v>5088</v>
      </c>
      <c r="C2819" s="5">
        <f>=HYPERLINK("https://nusmods.com/modules/PC5215#timetable","Timetable")</f>
      </c>
      <c r="D2819" s="5">
        <f>=HYPERLINK("https://canvas.nus.edu.sg/courses/23367","Canvas course site")</f>
      </c>
      <c r="E2819" s="5"/>
      <c r="F2819" s="0" t="s">
        <v>266</v>
      </c>
      <c r="G2819" s="0" t="s">
        <v>1230</v>
      </c>
      <c r="H2819" s="3">
        <v>22</v>
      </c>
    </row>
    <row r="2820">
      <c r="A2820" s="0" t="s">
        <v>5089</v>
      </c>
      <c r="B2820" s="0" t="s">
        <v>5090</v>
      </c>
      <c r="C2820" s="5">
        <f>=HYPERLINK("https://nusmods.com/modules/PC5228#timetable","Timetable")</f>
      </c>
      <c r="D2820" s="5"/>
      <c r="E2820" s="5">
        <f>=HYPERLINK("https://luminus.nus.edu.sg/modules/2de7d487-daa7-4026-8aac-67dc4b18a41b","LumiNUS course site")</f>
      </c>
      <c r="F2820" s="0" t="s">
        <v>266</v>
      </c>
      <c r="G2820" s="0" t="s">
        <v>1230</v>
      </c>
      <c r="H2820" s="3">
        <v>38</v>
      </c>
    </row>
    <row r="2821">
      <c r="A2821" s="0" t="s">
        <v>5091</v>
      </c>
      <c r="B2821" s="0" t="s">
        <v>5092</v>
      </c>
      <c r="C2821" s="5">
        <f>=HYPERLINK("https://nusmods.com/modules/PC5286#timetable","Timetable")</f>
      </c>
      <c r="D2821" s="5"/>
      <c r="E2821" s="5"/>
      <c r="F2821" s="0" t="s">
        <v>266</v>
      </c>
      <c r="G2821" s="0" t="s">
        <v>1230</v>
      </c>
      <c r="H2821" s="3">
        <v>6</v>
      </c>
    </row>
    <row r="2822">
      <c r="A2822" s="0" t="s">
        <v>5093</v>
      </c>
      <c r="B2822" s="0" t="s">
        <v>5094</v>
      </c>
      <c r="C2822" s="5">
        <f>=HYPERLINK("https://nusmods.com/modules/PC5287#timetable","Timetable")</f>
      </c>
      <c r="D2822" s="5"/>
      <c r="E2822" s="5">
        <f>=HYPERLINK("https://luminus.nus.edu.sg/modules/7e22ab9f-7aa5-4351-87e0-220e8c5106b8","LumiNUS course site")</f>
      </c>
      <c r="F2822" s="0" t="s">
        <v>266</v>
      </c>
      <c r="G2822" s="0" t="s">
        <v>1230</v>
      </c>
      <c r="H2822" s="3">
        <v>34</v>
      </c>
    </row>
    <row r="2823">
      <c r="A2823" s="0" t="s">
        <v>5095</v>
      </c>
      <c r="B2823" s="0" t="s">
        <v>5096</v>
      </c>
      <c r="C2823" s="5">
        <f>=HYPERLINK("https://nusmods.com/modules/PC5288#timetable","Timetable")</f>
      </c>
      <c r="D2823" s="5"/>
      <c r="E2823" s="5"/>
      <c r="F2823" s="0" t="s">
        <v>266</v>
      </c>
      <c r="G2823" s="0" t="s">
        <v>1230</v>
      </c>
      <c r="H2823" s="3">
        <v>6</v>
      </c>
    </row>
    <row r="2824">
      <c r="A2824" s="0" t="s">
        <v>5097</v>
      </c>
      <c r="B2824" s="0" t="s">
        <v>5098</v>
      </c>
      <c r="C2824" s="5">
        <f>=HYPERLINK("https://nusmods.com/modules/PC5289#timetable","Timetable")</f>
      </c>
      <c r="D2824" s="5"/>
      <c r="E2824" s="5"/>
      <c r="F2824" s="0" t="s">
        <v>266</v>
      </c>
      <c r="G2824" s="0" t="s">
        <v>1230</v>
      </c>
      <c r="H2824" s="3">
        <v>1</v>
      </c>
    </row>
    <row r="2825">
      <c r="A2825" s="0" t="s">
        <v>5099</v>
      </c>
      <c r="B2825" s="0" t="s">
        <v>5100</v>
      </c>
      <c r="C2825" s="5">
        <f>=HYPERLINK("https://nusmods.com/modules/PE3101P#timetable","Timetable")</f>
      </c>
      <c r="D2825" s="5"/>
      <c r="E2825" s="5">
        <f>=HYPERLINK("https://luminus.nus.edu.sg/modules/6f12b5f9-a0ab-4284-9419-0176faf6803f","LumiNUS course site")</f>
      </c>
      <c r="F2825" s="0" t="s">
        <v>73</v>
      </c>
      <c r="G2825" s="0" t="s">
        <v>1514</v>
      </c>
      <c r="H2825" s="3">
        <v>32</v>
      </c>
    </row>
    <row r="2826">
      <c r="A2826" s="0" t="s">
        <v>5101</v>
      </c>
      <c r="B2826" s="0" t="s">
        <v>1773</v>
      </c>
      <c r="C2826" s="5">
        <f>=HYPERLINK("https://nusmods.com/modules/PE3551S#timetable","Timetable")</f>
      </c>
      <c r="D2826" s="5"/>
      <c r="E2826" s="5"/>
      <c r="F2826" s="0" t="s">
        <v>73</v>
      </c>
      <c r="G2826" s="0" t="s">
        <v>2554</v>
      </c>
      <c r="H2826" s="3">
        <v>1</v>
      </c>
    </row>
    <row r="2827">
      <c r="A2827" s="0" t="s">
        <v>5102</v>
      </c>
      <c r="B2827" s="0" t="s">
        <v>5103</v>
      </c>
      <c r="C2827" s="5">
        <f>=HYPERLINK("https://nusmods.com/modules/PE4102P#timetable","Timetable")</f>
      </c>
      <c r="D2827" s="5">
        <f>=HYPERLINK("https://canvas.nus.edu.sg/courses/26316","Canvas course site")</f>
      </c>
      <c r="E2827" s="5">
        <f>=HYPERLINK("https://luminus.nus.edu.sg/modules/e181e913-2ac7-4efc-9501-1e70e43481cb","LumiNUS course site")</f>
      </c>
      <c r="F2827" s="0" t="s">
        <v>73</v>
      </c>
      <c r="G2827" s="0" t="s">
        <v>1514</v>
      </c>
      <c r="H2827" s="3">
        <v>16</v>
      </c>
    </row>
    <row r="2828">
      <c r="A2828" s="0" t="s">
        <v>5104</v>
      </c>
      <c r="B2828" s="0" t="s">
        <v>980</v>
      </c>
      <c r="C2828" s="5">
        <f>=HYPERLINK("https://nusmods.com/modules/PE4401E#timetable","Timetable")</f>
      </c>
      <c r="D2828" s="5"/>
      <c r="E2828" s="5"/>
      <c r="F2828" s="0" t="s">
        <v>73</v>
      </c>
      <c r="G2828" s="0" t="s">
        <v>1735</v>
      </c>
      <c r="H2828" s="3">
        <v>1</v>
      </c>
    </row>
    <row r="2829">
      <c r="A2829" s="0" t="s">
        <v>5105</v>
      </c>
      <c r="B2829" s="0" t="s">
        <v>980</v>
      </c>
      <c r="C2829" s="5">
        <f>=HYPERLINK("https://nusmods.com/modules/PE4401P#timetable","Timetable")</f>
      </c>
      <c r="D2829" s="5"/>
      <c r="E2829" s="5"/>
      <c r="F2829" s="0" t="s">
        <v>73</v>
      </c>
      <c r="G2829" s="0" t="s">
        <v>1514</v>
      </c>
      <c r="H2829" s="3">
        <v>2</v>
      </c>
    </row>
    <row r="2830">
      <c r="A2830" s="0" t="s">
        <v>5106</v>
      </c>
      <c r="B2830" s="0" t="s">
        <v>980</v>
      </c>
      <c r="C2830" s="5">
        <f>=HYPERLINK("https://nusmods.com/modules/PE4401S#timetable","Timetable")</f>
      </c>
      <c r="D2830" s="5"/>
      <c r="E2830" s="5"/>
      <c r="F2830" s="0" t="s">
        <v>73</v>
      </c>
      <c r="G2830" s="0" t="s">
        <v>2554</v>
      </c>
      <c r="H2830" s="3">
        <v>0</v>
      </c>
    </row>
    <row r="2831">
      <c r="A2831" s="0" t="s">
        <v>5107</v>
      </c>
      <c r="B2831" s="0" t="s">
        <v>5108</v>
      </c>
      <c r="C2831" s="5">
        <f>=HYPERLINK("https://nusmods.com/modules/PE4402E#timetable","Timetable")</f>
      </c>
      <c r="D2831" s="5"/>
      <c r="E2831" s="5"/>
      <c r="F2831" s="0" t="s">
        <v>73</v>
      </c>
      <c r="G2831" s="0" t="s">
        <v>1735</v>
      </c>
      <c r="H2831" s="3">
        <v>3</v>
      </c>
    </row>
    <row r="2832">
      <c r="A2832" s="0" t="s">
        <v>5109</v>
      </c>
      <c r="B2832" s="0" t="s">
        <v>5108</v>
      </c>
      <c r="C2832" s="5">
        <f>=HYPERLINK("https://nusmods.com/modules/PE4402S#timetable","Timetable")</f>
      </c>
      <c r="D2832" s="5"/>
      <c r="E2832" s="5"/>
      <c r="F2832" s="0" t="s">
        <v>73</v>
      </c>
      <c r="G2832" s="0" t="s">
        <v>2554</v>
      </c>
      <c r="H2832" s="3">
        <v>0</v>
      </c>
    </row>
    <row r="2833">
      <c r="A2833" s="0" t="s">
        <v>5110</v>
      </c>
      <c r="B2833" s="0" t="s">
        <v>602</v>
      </c>
      <c r="C2833" s="5">
        <f>=HYPERLINK("https://nusmods.com/modules/PE4660P#timetable","Timetable")</f>
      </c>
      <c r="D2833" s="5"/>
      <c r="E2833" s="5"/>
      <c r="F2833" s="0" t="s">
        <v>73</v>
      </c>
      <c r="G2833" s="0" t="s">
        <v>1514</v>
      </c>
      <c r="H2833" s="3">
        <v>0</v>
      </c>
    </row>
    <row r="2834">
      <c r="A2834" s="0" t="s">
        <v>5111</v>
      </c>
      <c r="B2834" s="0" t="s">
        <v>602</v>
      </c>
      <c r="C2834" s="5">
        <f>=HYPERLINK("https://nusmods.com/modules/PE4660S#timetable","Timetable")</f>
      </c>
      <c r="D2834" s="5"/>
      <c r="E2834" s="5"/>
      <c r="F2834" s="0" t="s">
        <v>73</v>
      </c>
      <c r="G2834" s="0" t="s">
        <v>2554</v>
      </c>
      <c r="H2834" s="3">
        <v>0</v>
      </c>
    </row>
    <row r="2835">
      <c r="A2835" s="0" t="s">
        <v>5112</v>
      </c>
      <c r="B2835" s="0" t="s">
        <v>5113</v>
      </c>
      <c r="C2835" s="5">
        <f>=HYPERLINK("https://nusmods.com/modules/PF1101#timetable","Timetable")</f>
      </c>
      <c r="D2835" s="5"/>
      <c r="E2835" s="5">
        <f>=HYPERLINK("https://luminus.nus.edu.sg/modules/f04514ff-f851-40de-84a1-12d566484b6b","LumiNUS course site")</f>
      </c>
      <c r="F2835" s="0" t="s">
        <v>10</v>
      </c>
      <c r="G2835" s="0" t="s">
        <v>660</v>
      </c>
      <c r="H2835" s="3">
        <v>766</v>
      </c>
    </row>
    <row r="2836">
      <c r="A2836" s="0" t="s">
        <v>5114</v>
      </c>
      <c r="B2836" s="0" t="s">
        <v>3025</v>
      </c>
      <c r="C2836" s="5">
        <f>=HYPERLINK("https://nusmods.com/modules/PF1107#timetable","Timetable")</f>
      </c>
      <c r="D2836" s="5">
        <f>=HYPERLINK("https://canvas.nus.edu.sg/courses/23447","Canvas course site")</f>
      </c>
      <c r="E2836" s="5"/>
      <c r="F2836" s="0" t="s">
        <v>10</v>
      </c>
      <c r="G2836" s="0" t="s">
        <v>660</v>
      </c>
      <c r="H2836" s="3">
        <v>25</v>
      </c>
    </row>
    <row r="2837">
      <c r="A2837" s="0" t="s">
        <v>5115</v>
      </c>
      <c r="B2837" s="0" t="s">
        <v>5116</v>
      </c>
      <c r="C2837" s="5">
        <f>=HYPERLINK("https://nusmods.com/modules/PF2102#timetable","Timetable")</f>
      </c>
      <c r="D2837" s="5"/>
      <c r="E2837" s="5">
        <f>=HYPERLINK("https://luminus.nus.edu.sg/modules/97f30173-562e-4aca-9576-67a0974d3da2","LumiNUS course site")</f>
      </c>
      <c r="F2837" s="0" t="s">
        <v>10</v>
      </c>
      <c r="G2837" s="0" t="s">
        <v>660</v>
      </c>
      <c r="H2837" s="3">
        <v>10</v>
      </c>
    </row>
    <row r="2838">
      <c r="A2838" s="0" t="s">
        <v>5117</v>
      </c>
      <c r="B2838" s="0" t="s">
        <v>3027</v>
      </c>
      <c r="C2838" s="5">
        <f>=HYPERLINK("https://nusmods.com/modules/PF2107#timetable","Timetable")</f>
      </c>
      <c r="D2838" s="5">
        <f>=HYPERLINK("https://canvas.nus.edu.sg/courses/22529","Canvas course site")</f>
      </c>
      <c r="E2838" s="5">
        <f>=HYPERLINK("https://luminus.nus.edu.sg/modules/cbee2ae7-eeb7-4a02-b07e-f7212ae8bb58","LumiNUS course site")</f>
      </c>
      <c r="F2838" s="0" t="s">
        <v>10</v>
      </c>
      <c r="G2838" s="0" t="s">
        <v>660</v>
      </c>
      <c r="H2838" s="3">
        <v>86</v>
      </c>
    </row>
    <row r="2839">
      <c r="A2839" s="0" t="s">
        <v>5118</v>
      </c>
      <c r="B2839" s="0" t="s">
        <v>5119</v>
      </c>
      <c r="C2839" s="5">
        <f>=HYPERLINK("https://nusmods.com/modules/PF2109#timetable","Timetable")</f>
      </c>
      <c r="D2839" s="5">
        <f>=HYPERLINK("https://canvas.nus.edu.sg/courses/22530","Canvas course site")</f>
      </c>
      <c r="E2839" s="5"/>
      <c r="F2839" s="0" t="s">
        <v>10</v>
      </c>
      <c r="G2839" s="0" t="s">
        <v>660</v>
      </c>
      <c r="H2839" s="3">
        <v>102</v>
      </c>
    </row>
    <row r="2840">
      <c r="A2840" s="0" t="s">
        <v>5120</v>
      </c>
      <c r="B2840" s="0" t="s">
        <v>5121</v>
      </c>
      <c r="C2840" s="5">
        <f>=HYPERLINK("https://nusmods.com/modules/PF2205#timetable","Timetable")</f>
      </c>
      <c r="D2840" s="5">
        <f>=HYPERLINK("https://canvas.nus.edu.sg/courses/23458","Canvas course site")</f>
      </c>
      <c r="E2840" s="5"/>
      <c r="F2840" s="0" t="s">
        <v>10</v>
      </c>
      <c r="G2840" s="0" t="s">
        <v>660</v>
      </c>
      <c r="H2840" s="3">
        <v>108</v>
      </c>
    </row>
    <row r="2841">
      <c r="A2841" s="0" t="s">
        <v>5122</v>
      </c>
      <c r="B2841" s="0" t="s">
        <v>5123</v>
      </c>
      <c r="C2841" s="5">
        <f>=HYPERLINK("https://nusmods.com/modules/PF3104#timetable","Timetable")</f>
      </c>
      <c r="D2841" s="5"/>
      <c r="E2841" s="5">
        <f>=HYPERLINK("https://luminus.nus.edu.sg/modules/64399961-6e97-4c61-8624-e6518b264014","LumiNUS course site")</f>
      </c>
      <c r="F2841" s="0" t="s">
        <v>10</v>
      </c>
      <c r="G2841" s="0" t="s">
        <v>660</v>
      </c>
      <c r="H2841" s="3">
        <v>124</v>
      </c>
    </row>
    <row r="2842">
      <c r="A2842" s="0" t="s">
        <v>5124</v>
      </c>
      <c r="B2842" s="0" t="s">
        <v>4988</v>
      </c>
      <c r="C2842" s="5">
        <f>=HYPERLINK("https://nusmods.com/modules/PF3105#timetable","Timetable")</f>
      </c>
      <c r="D2842" s="5">
        <f>=HYPERLINK("https://canvas.nus.edu.sg/courses/23475","Canvas course site")</f>
      </c>
      <c r="E2842" s="5"/>
      <c r="F2842" s="0" t="s">
        <v>10</v>
      </c>
      <c r="G2842" s="0" t="s">
        <v>660</v>
      </c>
      <c r="H2842" s="3">
        <v>116</v>
      </c>
    </row>
    <row r="2843">
      <c r="A2843" s="0" t="s">
        <v>5125</v>
      </c>
      <c r="B2843" s="0" t="s">
        <v>5126</v>
      </c>
      <c r="C2843" s="5">
        <f>=HYPERLINK("https://nusmods.com/modules/PF3205#timetable","Timetable")</f>
      </c>
      <c r="D2843" s="5"/>
      <c r="E2843" s="5">
        <f>=HYPERLINK("https://luminus.nus.edu.sg/modules/95509094-04fa-461f-bae0-61a0c116f205","LumiNUS course site")</f>
      </c>
      <c r="F2843" s="0" t="s">
        <v>10</v>
      </c>
      <c r="G2843" s="0" t="s">
        <v>660</v>
      </c>
      <c r="H2843" s="3">
        <v>69</v>
      </c>
    </row>
    <row r="2844">
      <c r="A2844" s="0" t="s">
        <v>5127</v>
      </c>
      <c r="B2844" s="0" t="s">
        <v>5128</v>
      </c>
      <c r="C2844" s="5">
        <f>=HYPERLINK("https://nusmods.com/modules/PF3208#timetable","Timetable")</f>
      </c>
      <c r="D2844" s="5">
        <f>=HYPERLINK("https://canvas.nus.edu.sg/courses/23486","Canvas course site")</f>
      </c>
      <c r="E2844" s="5"/>
      <c r="F2844" s="0" t="s">
        <v>10</v>
      </c>
      <c r="G2844" s="0" t="s">
        <v>660</v>
      </c>
      <c r="H2844" s="3">
        <v>60</v>
      </c>
    </row>
    <row r="2845">
      <c r="A2845" s="0" t="s">
        <v>5129</v>
      </c>
      <c r="B2845" s="0" t="s">
        <v>5130</v>
      </c>
      <c r="C2845" s="5">
        <f>=HYPERLINK("https://nusmods.com/modules/PF3209#timetable","Timetable")</f>
      </c>
      <c r="D2845" s="5"/>
      <c r="E2845" s="5">
        <f>=HYPERLINK("https://luminus.nus.edu.sg/modules/a1cc851a-fbdd-4be0-891c-8cc04ee898fd","LumiNUS course site")</f>
      </c>
      <c r="F2845" s="0" t="s">
        <v>10</v>
      </c>
      <c r="G2845" s="0" t="s">
        <v>660</v>
      </c>
      <c r="H2845" s="3">
        <v>70</v>
      </c>
    </row>
    <row r="2846">
      <c r="A2846" s="0" t="s">
        <v>5131</v>
      </c>
      <c r="B2846" s="0" t="s">
        <v>5132</v>
      </c>
      <c r="C2846" s="5">
        <f>=HYPERLINK("https://nusmods.com/modules/PF3210#timetable","Timetable")</f>
      </c>
      <c r="D2846" s="5"/>
      <c r="E2846" s="5">
        <f>=HYPERLINK("https://luminus.nus.edu.sg/modules/65b2bf36-630f-436f-a355-8c0e787163b1","LumiNUS course site")</f>
      </c>
      <c r="F2846" s="0" t="s">
        <v>10</v>
      </c>
      <c r="G2846" s="0" t="s">
        <v>660</v>
      </c>
      <c r="H2846" s="3">
        <v>46</v>
      </c>
    </row>
    <row r="2847">
      <c r="A2847" s="0" t="s">
        <v>5133</v>
      </c>
      <c r="B2847" s="0" t="s">
        <v>5134</v>
      </c>
      <c r="C2847" s="5">
        <f>=HYPERLINK("https://nusmods.com/modules/PF3211#timetable","Timetable")</f>
      </c>
      <c r="D2847" s="5">
        <f>=HYPERLINK("https://canvas.nus.edu.sg/courses/23502","Canvas course site")</f>
      </c>
      <c r="E2847" s="5"/>
      <c r="F2847" s="0" t="s">
        <v>10</v>
      </c>
      <c r="G2847" s="0" t="s">
        <v>660</v>
      </c>
      <c r="H2847" s="3">
        <v>139</v>
      </c>
    </row>
    <row r="2848">
      <c r="A2848" s="0" t="s">
        <v>5135</v>
      </c>
      <c r="B2848" s="0" t="s">
        <v>5136</v>
      </c>
      <c r="C2848" s="5">
        <f>=HYPERLINK("https://nusmods.com/modules/PF3307#timetable","Timetable")</f>
      </c>
      <c r="D2848" s="5"/>
      <c r="E2848" s="5">
        <f>=HYPERLINK("https://luminus.nus.edu.sg/modules/717db93b-ff6a-4a50-9cd6-6c80b77bfae2","LumiNUS course site")</f>
      </c>
      <c r="F2848" s="0" t="s">
        <v>10</v>
      </c>
      <c r="G2848" s="0" t="s">
        <v>660</v>
      </c>
      <c r="H2848" s="3">
        <v>53</v>
      </c>
    </row>
    <row r="2849">
      <c r="A2849" s="0" t="s">
        <v>5137</v>
      </c>
      <c r="B2849" s="0" t="s">
        <v>5138</v>
      </c>
      <c r="C2849" s="5">
        <f>=HYPERLINK("https://nusmods.com/modules/PF3504#timetable","Timetable")</f>
      </c>
      <c r="D2849" s="5"/>
      <c r="E2849" s="5">
        <f>=HYPERLINK("https://luminus.nus.edu.sg/modules/9539de9b-9e22-4ca2-99b0-49fadbc3e921","LumiNUS course site")</f>
      </c>
      <c r="F2849" s="0" t="s">
        <v>10</v>
      </c>
      <c r="G2849" s="0" t="s">
        <v>660</v>
      </c>
      <c r="H2849" s="3">
        <v>51</v>
      </c>
    </row>
    <row r="2850">
      <c r="A2850" s="0" t="s">
        <v>5139</v>
      </c>
      <c r="B2850" s="0" t="s">
        <v>17</v>
      </c>
      <c r="C2850" s="5">
        <f>=HYPERLINK("https://nusmods.com/modules/PF4101#timetable","Timetable")</f>
      </c>
      <c r="D2850" s="5"/>
      <c r="E2850" s="5">
        <f>=HYPERLINK("https://luminus.nus.edu.sg/modules/c26c7762-92e2-4202-9e60-e0dc4de823a2","LumiNUS course site")</f>
      </c>
      <c r="F2850" s="0" t="s">
        <v>10</v>
      </c>
      <c r="G2850" s="0" t="s">
        <v>660</v>
      </c>
      <c r="H2850" s="3">
        <v>36</v>
      </c>
    </row>
    <row r="2851">
      <c r="A2851" s="0" t="s">
        <v>5140</v>
      </c>
      <c r="B2851" s="0" t="s">
        <v>5141</v>
      </c>
      <c r="C2851" s="5">
        <f>=HYPERLINK("https://nusmods.com/modules/PF4102#timetable","Timetable")</f>
      </c>
      <c r="D2851" s="5"/>
      <c r="E2851" s="5">
        <f>=HYPERLINK("https://luminus.nus.edu.sg/modules/a44a556e-7742-4132-a499-e98414397794","LumiNUS course site")</f>
      </c>
      <c r="F2851" s="0" t="s">
        <v>10</v>
      </c>
      <c r="G2851" s="0" t="s">
        <v>660</v>
      </c>
      <c r="H2851" s="3">
        <v>171</v>
      </c>
    </row>
    <row r="2852">
      <c r="A2852" s="0" t="s">
        <v>5142</v>
      </c>
      <c r="B2852" s="0" t="s">
        <v>5143</v>
      </c>
      <c r="C2852" s="5">
        <f>=HYPERLINK("https://nusmods.com/modules/PF4209#timetable","Timetable")</f>
      </c>
      <c r="D2852" s="5">
        <f>=HYPERLINK("https://canvas.nus.edu.sg/courses/23523","Canvas course site")</f>
      </c>
      <c r="E2852" s="5"/>
      <c r="F2852" s="0" t="s">
        <v>10</v>
      </c>
      <c r="G2852" s="0" t="s">
        <v>660</v>
      </c>
      <c r="H2852" s="3">
        <v>61</v>
      </c>
    </row>
    <row r="2853">
      <c r="A2853" s="0" t="s">
        <v>5144</v>
      </c>
      <c r="B2853" s="0" t="s">
        <v>5145</v>
      </c>
      <c r="C2853" s="5">
        <f>=HYPERLINK("https://nusmods.com/modules/PF4213#timetable","Timetable")</f>
      </c>
      <c r="D2853" s="5"/>
      <c r="E2853" s="5">
        <f>=HYPERLINK("https://luminus.nus.edu.sg/modules/8469ea1d-e10e-4423-86e8-52c2aabebcba","LumiNUS course site")</f>
      </c>
      <c r="F2853" s="0" t="s">
        <v>10</v>
      </c>
      <c r="G2853" s="0" t="s">
        <v>660</v>
      </c>
      <c r="H2853" s="3">
        <v>29</v>
      </c>
    </row>
    <row r="2854">
      <c r="A2854" s="0" t="s">
        <v>5146</v>
      </c>
      <c r="B2854" s="0" t="s">
        <v>5147</v>
      </c>
      <c r="C2854" s="5">
        <f>=HYPERLINK("https://nusmods.com/modules/PF4309#timetable","Timetable")</f>
      </c>
      <c r="D2854" s="5">
        <f>=HYPERLINK("https://canvas.nus.edu.sg/courses/23538","Canvas course site")</f>
      </c>
      <c r="E2854" s="5"/>
      <c r="F2854" s="0" t="s">
        <v>10</v>
      </c>
      <c r="G2854" s="0" t="s">
        <v>660</v>
      </c>
      <c r="H2854" s="3">
        <v>52</v>
      </c>
    </row>
    <row r="2855">
      <c r="A2855" s="0" t="s">
        <v>5148</v>
      </c>
      <c r="B2855" s="0" t="s">
        <v>5149</v>
      </c>
      <c r="C2855" s="5">
        <f>=HYPERLINK("https://nusmods.com/modules/PF4502#timetable","Timetable")</f>
      </c>
      <c r="D2855" s="5"/>
      <c r="E2855" s="5">
        <f>=HYPERLINK("https://luminus.nus.edu.sg/modules/049fe70b-f870-432d-a900-95fd3af1288f","LumiNUS course site")</f>
      </c>
      <c r="F2855" s="0" t="s">
        <v>10</v>
      </c>
      <c r="G2855" s="0" t="s">
        <v>660</v>
      </c>
      <c r="H2855" s="3">
        <v>29</v>
      </c>
    </row>
    <row r="2856">
      <c r="A2856" s="0" t="s">
        <v>5150</v>
      </c>
      <c r="B2856" s="0" t="s">
        <v>5151</v>
      </c>
      <c r="C2856" s="5">
        <f>=HYPERLINK("https://nusmods.com/modules/PH2208#timetable","Timetable")</f>
      </c>
      <c r="D2856" s="5"/>
      <c r="E2856" s="5">
        <f>=HYPERLINK("https://luminus.nus.edu.sg/modules/8fb0bbe3-84e9-4263-a495-43e387edfee9","LumiNUS course site")</f>
      </c>
      <c r="F2856" s="0" t="s">
        <v>73</v>
      </c>
      <c r="G2856" s="0" t="s">
        <v>1514</v>
      </c>
      <c r="H2856" s="3">
        <v>55</v>
      </c>
    </row>
    <row r="2857">
      <c r="A2857" s="0" t="s">
        <v>5152</v>
      </c>
      <c r="B2857" s="0" t="s">
        <v>5153</v>
      </c>
      <c r="C2857" s="5">
        <f>=HYPERLINK("https://nusmods.com/modules/PH2209#timetable","Timetable")</f>
      </c>
      <c r="D2857" s="5">
        <f>=HYPERLINK("https://canvas.nus.edu.sg/courses/26046","Canvas course site")</f>
      </c>
      <c r="E2857" s="5">
        <f>=HYPERLINK("https://luminus.nus.edu.sg/modules/ed7a422c-79d1-4316-a69b-6a96397809b9","LumiNUS course site")</f>
      </c>
      <c r="F2857" s="0" t="s">
        <v>73</v>
      </c>
      <c r="G2857" s="0" t="s">
        <v>1514</v>
      </c>
      <c r="H2857" s="3">
        <v>46</v>
      </c>
    </row>
    <row r="2858">
      <c r="A2858" s="0" t="s">
        <v>5154</v>
      </c>
      <c r="B2858" s="0" t="s">
        <v>5155</v>
      </c>
      <c r="C2858" s="5">
        <f>=HYPERLINK("https://nusmods.com/modules/PH2211#timetable","Timetable")</f>
      </c>
      <c r="D2858" s="5"/>
      <c r="E2858" s="5">
        <f>=HYPERLINK("https://luminus.nus.edu.sg/modules/d005abe4-7bf9-4d39-a5c5-2830d3482593","LumiNUS course site")</f>
      </c>
      <c r="F2858" s="0" t="s">
        <v>73</v>
      </c>
      <c r="G2858" s="0" t="s">
        <v>1514</v>
      </c>
      <c r="H2858" s="3">
        <v>80</v>
      </c>
    </row>
    <row r="2859">
      <c r="A2859" s="0" t="s">
        <v>5156</v>
      </c>
      <c r="B2859" s="0" t="s">
        <v>2212</v>
      </c>
      <c r="C2859" s="5">
        <f>=HYPERLINK("https://nusmods.com/modules/PH2212#timetable","Timetable")</f>
      </c>
      <c r="D2859" s="5">
        <f>=HYPERLINK("https://canvas.nus.edu.sg/courses/26049","Canvas course site")</f>
      </c>
      <c r="E2859" s="5">
        <f>=HYPERLINK("https://luminus.nus.edu.sg/modules/3e2bd55f-467b-491f-a861-3d8b54a06dfc","LumiNUS course site")</f>
      </c>
      <c r="F2859" s="0" t="s">
        <v>73</v>
      </c>
      <c r="G2859" s="0" t="s">
        <v>1514</v>
      </c>
      <c r="H2859" s="3">
        <v>23</v>
      </c>
    </row>
    <row r="2860">
      <c r="A2860" s="0" t="s">
        <v>5157</v>
      </c>
      <c r="B2860" s="0" t="s">
        <v>5158</v>
      </c>
      <c r="C2860" s="5">
        <f>=HYPERLINK("https://nusmods.com/modules/PH2241#timetable","Timetable")</f>
      </c>
      <c r="D2860" s="5"/>
      <c r="E2860" s="5">
        <f>=HYPERLINK("https://luminus.nus.edu.sg/modules/d760486b-f27a-4bef-b63d-abb8c352a58e","LumiNUS course site")</f>
      </c>
      <c r="F2860" s="0" t="s">
        <v>73</v>
      </c>
      <c r="G2860" s="0" t="s">
        <v>1514</v>
      </c>
      <c r="H2860" s="3">
        <v>55</v>
      </c>
    </row>
    <row r="2861">
      <c r="A2861" s="0" t="s">
        <v>5159</v>
      </c>
      <c r="B2861" s="0" t="s">
        <v>5160</v>
      </c>
      <c r="C2861" s="5">
        <f>=HYPERLINK("https://nusmods.com/modules/PH2243#timetable","Timetable")</f>
      </c>
      <c r="D2861" s="5">
        <f>=HYPERLINK("https://canvas.nus.edu.sg/courses/23551","Canvas course site")</f>
      </c>
      <c r="E2861" s="5">
        <f>=HYPERLINK("https://luminus.nus.edu.sg/modules/10a7a892-5bba-4807-8a89-de14e74904c3","LumiNUS course site")</f>
      </c>
      <c r="F2861" s="0" t="s">
        <v>73</v>
      </c>
      <c r="G2861" s="0" t="s">
        <v>1514</v>
      </c>
      <c r="H2861" s="3">
        <v>29</v>
      </c>
    </row>
    <row r="2862">
      <c r="A2862" s="0" t="s">
        <v>5161</v>
      </c>
      <c r="B2862" s="0" t="s">
        <v>5162</v>
      </c>
      <c r="C2862" s="5">
        <f>=HYPERLINK("https://nusmods.com/modules/PH3203#timetable","Timetable")</f>
      </c>
      <c r="D2862" s="5"/>
      <c r="E2862" s="5">
        <f>=HYPERLINK("https://luminus.nus.edu.sg/modules/cf3af5b2-efbe-42d2-9e40-3ee78533dd63","LumiNUS course site")</f>
      </c>
      <c r="F2862" s="0" t="s">
        <v>73</v>
      </c>
      <c r="G2862" s="0" t="s">
        <v>1514</v>
      </c>
      <c r="H2862" s="3">
        <v>27</v>
      </c>
    </row>
    <row r="2863">
      <c r="A2863" s="0" t="s">
        <v>5163</v>
      </c>
      <c r="B2863" s="0" t="s">
        <v>5164</v>
      </c>
      <c r="C2863" s="5">
        <f>=HYPERLINK("https://nusmods.com/modules/PH3217#timetable","Timetable")</f>
      </c>
      <c r="D2863" s="5"/>
      <c r="E2863" s="5">
        <f>=HYPERLINK("https://luminus.nus.edu.sg/modules/c7e88192-8cb0-4ba9-ab0d-611a9b3d17e5","LumiNUS course site")</f>
      </c>
      <c r="F2863" s="0" t="s">
        <v>73</v>
      </c>
      <c r="G2863" s="0" t="s">
        <v>1514</v>
      </c>
      <c r="H2863" s="3">
        <v>27</v>
      </c>
    </row>
    <row r="2864">
      <c r="A2864" s="0" t="s">
        <v>5165</v>
      </c>
      <c r="B2864" s="0" t="s">
        <v>5166</v>
      </c>
      <c r="C2864" s="5">
        <f>=HYPERLINK("https://nusmods.com/modules/PH3245#timetable","Timetable")</f>
      </c>
      <c r="D2864" s="5"/>
      <c r="E2864" s="5">
        <f>=HYPERLINK("https://luminus.nus.edu.sg/modules/7d2d5e0f-6e07-458f-8e6b-053f242b9183","LumiNUS course site")</f>
      </c>
      <c r="F2864" s="0" t="s">
        <v>73</v>
      </c>
      <c r="G2864" s="0" t="s">
        <v>1514</v>
      </c>
      <c r="H2864" s="3">
        <v>8</v>
      </c>
    </row>
    <row r="2865">
      <c r="A2865" s="0" t="s">
        <v>5167</v>
      </c>
      <c r="B2865" s="0" t="s">
        <v>5168</v>
      </c>
      <c r="C2865" s="5">
        <f>=HYPERLINK("https://nusmods.com/modules/PH3250#timetable","Timetable")</f>
      </c>
      <c r="D2865" s="5"/>
      <c r="E2865" s="5">
        <f>=HYPERLINK("https://luminus.nus.edu.sg/modules/0a618e4d-a874-4e50-9d36-3d2cb66f9597","LumiNUS course site")</f>
      </c>
      <c r="F2865" s="0" t="s">
        <v>73</v>
      </c>
      <c r="G2865" s="0" t="s">
        <v>1514</v>
      </c>
      <c r="H2865" s="3">
        <v>11</v>
      </c>
    </row>
    <row r="2866">
      <c r="A2866" s="0" t="s">
        <v>5169</v>
      </c>
      <c r="B2866" s="0" t="s">
        <v>5170</v>
      </c>
      <c r="C2866" s="5">
        <f>=HYPERLINK("https://nusmods.com/modules/PH3252#timetable","Timetable")</f>
      </c>
      <c r="D2866" s="5"/>
      <c r="E2866" s="5">
        <f>=HYPERLINK("https://luminus.nus.edu.sg/modules/a8db2665-d459-45c5-b9ba-a321a485e135","LumiNUS course site")</f>
      </c>
      <c r="F2866" s="0" t="s">
        <v>73</v>
      </c>
      <c r="G2866" s="0" t="s">
        <v>1514</v>
      </c>
      <c r="H2866" s="3">
        <v>11</v>
      </c>
    </row>
    <row r="2867">
      <c r="A2867" s="0" t="s">
        <v>5171</v>
      </c>
      <c r="B2867" s="0" t="s">
        <v>1773</v>
      </c>
      <c r="C2867" s="5">
        <f>=HYPERLINK("https://nusmods.com/modules/PH3551#timetable","Timetable")</f>
      </c>
      <c r="D2867" s="5"/>
      <c r="E2867" s="5"/>
      <c r="F2867" s="0" t="s">
        <v>73</v>
      </c>
      <c r="G2867" s="0" t="s">
        <v>1514</v>
      </c>
      <c r="H2867" s="3">
        <v>0</v>
      </c>
    </row>
    <row r="2868">
      <c r="A2868" s="0" t="s">
        <v>5172</v>
      </c>
      <c r="B2868" s="0" t="s">
        <v>5173</v>
      </c>
      <c r="C2868" s="5">
        <f>=HYPERLINK("https://nusmods.com/modules/PH4202#timetable","Timetable")</f>
      </c>
      <c r="D2868" s="5"/>
      <c r="E2868" s="5">
        <f>=HYPERLINK("https://luminus.nus.edu.sg/modules/991fd599-1a52-4538-bc7e-2ff21fb65079","LumiNUS course site")</f>
      </c>
      <c r="F2868" s="0" t="s">
        <v>73</v>
      </c>
      <c r="G2868" s="0" t="s">
        <v>1514</v>
      </c>
      <c r="H2868" s="3">
        <v>13</v>
      </c>
    </row>
    <row r="2869">
      <c r="A2869" s="0" t="s">
        <v>5174</v>
      </c>
      <c r="B2869" s="0" t="s">
        <v>5175</v>
      </c>
      <c r="C2869" s="5">
        <f>=HYPERLINK("https://nusmods.com/modules/PH4203#timetable","Timetable")</f>
      </c>
      <c r="D2869" s="5">
        <f>=HYPERLINK("https://canvas.nus.edu.sg/courses/23581","Canvas course site")</f>
      </c>
      <c r="E2869" s="5">
        <f>=HYPERLINK("https://luminus.nus.edu.sg/modules/a495a34d-403f-470d-8c94-c9e9367b4d27","LumiNUS course site")</f>
      </c>
      <c r="F2869" s="0" t="s">
        <v>73</v>
      </c>
      <c r="G2869" s="0" t="s">
        <v>1514</v>
      </c>
      <c r="H2869" s="3">
        <v>15</v>
      </c>
    </row>
    <row r="2870">
      <c r="A2870" s="0" t="s">
        <v>5176</v>
      </c>
      <c r="B2870" s="0" t="s">
        <v>5177</v>
      </c>
      <c r="C2870" s="5">
        <f>=HYPERLINK("https://nusmods.com/modules/PH4206#timetable","Timetable")</f>
      </c>
      <c r="D2870" s="5"/>
      <c r="E2870" s="5">
        <f>=HYPERLINK("https://luminus.nus.edu.sg/modules/8b449610-ef3b-4f20-b1cb-2c308278be2b","LumiNUS course site")</f>
      </c>
      <c r="F2870" s="0" t="s">
        <v>73</v>
      </c>
      <c r="G2870" s="0" t="s">
        <v>1514</v>
      </c>
      <c r="H2870" s="3">
        <v>9</v>
      </c>
    </row>
    <row r="2871">
      <c r="A2871" s="0" t="s">
        <v>5178</v>
      </c>
      <c r="B2871" s="0" t="s">
        <v>5179</v>
      </c>
      <c r="C2871" s="5">
        <f>=HYPERLINK("https://nusmods.com/modules/PH4214#timetable","Timetable")</f>
      </c>
      <c r="D2871" s="5"/>
      <c r="E2871" s="5">
        <f>=HYPERLINK("https://luminus.nus.edu.sg/modules/31827579-3309-46e8-80c3-a936ab41704b","LumiNUS course site")</f>
      </c>
      <c r="F2871" s="0" t="s">
        <v>73</v>
      </c>
      <c r="G2871" s="0" t="s">
        <v>1514</v>
      </c>
      <c r="H2871" s="3">
        <v>9</v>
      </c>
    </row>
    <row r="2872">
      <c r="A2872" s="0" t="s">
        <v>5180</v>
      </c>
      <c r="B2872" s="0" t="s">
        <v>5181</v>
      </c>
      <c r="C2872" s="5">
        <f>=HYPERLINK("https://nusmods.com/modules/PH4244#timetable","Timetable")</f>
      </c>
      <c r="D2872" s="5"/>
      <c r="E2872" s="5">
        <f>=HYPERLINK("https://luminus.nus.edu.sg/modules/ff6230c5-afcd-4e76-825a-2cb1628c4c03","LumiNUS course site")</f>
      </c>
      <c r="F2872" s="0" t="s">
        <v>73</v>
      </c>
      <c r="G2872" s="0" t="s">
        <v>1514</v>
      </c>
      <c r="H2872" s="3">
        <v>2</v>
      </c>
    </row>
    <row r="2873">
      <c r="A2873" s="0" t="s">
        <v>5182</v>
      </c>
      <c r="B2873" s="0" t="s">
        <v>980</v>
      </c>
      <c r="C2873" s="5">
        <f>=HYPERLINK("https://nusmods.com/modules/PH4401#timetable","Timetable")</f>
      </c>
      <c r="D2873" s="5">
        <f>=HYPERLINK("https://canvas.nus.edu.sg/courses/23596","Canvas course site")</f>
      </c>
      <c r="E2873" s="5"/>
      <c r="F2873" s="0" t="s">
        <v>73</v>
      </c>
      <c r="G2873" s="0" t="s">
        <v>1514</v>
      </c>
      <c r="H2873" s="3">
        <v>10</v>
      </c>
    </row>
    <row r="2874">
      <c r="A2874" s="0" t="s">
        <v>5183</v>
      </c>
      <c r="B2874" s="0" t="s">
        <v>5184</v>
      </c>
      <c r="C2874" s="5">
        <f>=HYPERLINK("https://nusmods.com/modules/PH4550#timetable","Timetable")</f>
      </c>
      <c r="D2874" s="5"/>
      <c r="E2874" s="5">
        <f>=HYPERLINK("https://luminus.nus.edu.sg/modules/8f5e492f-270d-4093-9f5c-839d4907ad0d","LumiNUS course site")</f>
      </c>
      <c r="F2874" s="0" t="s">
        <v>73</v>
      </c>
      <c r="G2874" s="0" t="s">
        <v>1514</v>
      </c>
      <c r="H2874" s="3">
        <v>1</v>
      </c>
    </row>
    <row r="2875">
      <c r="A2875" s="0" t="s">
        <v>5185</v>
      </c>
      <c r="B2875" s="0" t="s">
        <v>602</v>
      </c>
      <c r="C2875" s="5">
        <f>=HYPERLINK("https://nusmods.com/modules/PH4660#timetable","Timetable")</f>
      </c>
      <c r="D2875" s="5"/>
      <c r="E2875" s="5"/>
      <c r="F2875" s="0" t="s">
        <v>73</v>
      </c>
      <c r="G2875" s="0" t="s">
        <v>1514</v>
      </c>
      <c r="H2875" s="3">
        <v>1</v>
      </c>
    </row>
    <row r="2876">
      <c r="A2876" s="0" t="s">
        <v>5186</v>
      </c>
      <c r="B2876" s="0" t="s">
        <v>5187</v>
      </c>
      <c r="C2876" s="5">
        <f>=HYPERLINK("https://nusmods.com/modules/PH5420#timetable","Timetable")</f>
      </c>
      <c r="D2876" s="5"/>
      <c r="E2876" s="5">
        <f>=HYPERLINK("https://luminus.nus.edu.sg/modules/991fd599-1a52-4538-bc7e-2ff21fb65079","LumiNUS course site")</f>
      </c>
      <c r="F2876" s="0" t="s">
        <v>73</v>
      </c>
      <c r="G2876" s="0" t="s">
        <v>1514</v>
      </c>
      <c r="H2876" s="3">
        <v>0</v>
      </c>
    </row>
    <row r="2877">
      <c r="A2877" s="0" t="s">
        <v>5188</v>
      </c>
      <c r="B2877" s="0" t="s">
        <v>5189</v>
      </c>
      <c r="C2877" s="5">
        <f>=HYPERLINK("https://nusmods.com/modules/PH5430#timetable","Timetable")</f>
      </c>
      <c r="D2877" s="5"/>
      <c r="E2877" s="5">
        <f>=HYPERLINK("https://luminus.nus.edu.sg/modules/28ac0bc9-afa3-4f5e-a03c-a1d1d74f168b","LumiNUS course site")</f>
      </c>
      <c r="F2877" s="0" t="s">
        <v>73</v>
      </c>
      <c r="G2877" s="0" t="s">
        <v>1514</v>
      </c>
      <c r="H2877" s="3">
        <v>4</v>
      </c>
    </row>
    <row r="2878">
      <c r="A2878" s="0" t="s">
        <v>5190</v>
      </c>
      <c r="B2878" s="0" t="s">
        <v>5191</v>
      </c>
      <c r="C2878" s="5">
        <f>=HYPERLINK("https://nusmods.com/modules/PH5430R#timetable","Timetable")</f>
      </c>
      <c r="D2878" s="5"/>
      <c r="E2878" s="5">
        <f>=HYPERLINK("https://luminus.nus.edu.sg/modules/28ac0bc9-afa3-4f5e-a03c-a1d1d74f168b","LumiNUS course site")</f>
      </c>
      <c r="F2878" s="0" t="s">
        <v>73</v>
      </c>
      <c r="G2878" s="0" t="s">
        <v>1514</v>
      </c>
      <c r="H2878" s="3">
        <v>1</v>
      </c>
    </row>
    <row r="2879">
      <c r="A2879" s="0" t="s">
        <v>5192</v>
      </c>
      <c r="B2879" s="0" t="s">
        <v>5193</v>
      </c>
      <c r="C2879" s="5">
        <f>=HYPERLINK("https://nusmods.com/modules/PH5650#timetable","Timetable")</f>
      </c>
      <c r="D2879" s="5"/>
      <c r="E2879" s="5">
        <f>=HYPERLINK("https://luminus.nus.edu.sg/modules/31827579-3309-46e8-80c3-a936ab41704b","LumiNUS course site")</f>
      </c>
      <c r="F2879" s="0" t="s">
        <v>73</v>
      </c>
      <c r="G2879" s="0" t="s">
        <v>1514</v>
      </c>
      <c r="H2879" s="3">
        <v>1</v>
      </c>
    </row>
    <row r="2880">
      <c r="A2880" s="0" t="s">
        <v>5194</v>
      </c>
      <c r="B2880" s="0" t="s">
        <v>602</v>
      </c>
      <c r="C2880" s="5">
        <f>=HYPERLINK("https://nusmods.com/modules/PH5660#timetable","Timetable")</f>
      </c>
      <c r="D2880" s="5"/>
      <c r="E2880" s="5"/>
      <c r="F2880" s="0" t="s">
        <v>73</v>
      </c>
      <c r="G2880" s="0" t="s">
        <v>1514</v>
      </c>
      <c r="H2880" s="3">
        <v>1</v>
      </c>
    </row>
    <row r="2881">
      <c r="A2881" s="0" t="s">
        <v>5195</v>
      </c>
      <c r="B2881" s="0" t="s">
        <v>602</v>
      </c>
      <c r="C2881" s="5">
        <f>=HYPERLINK("https://nusmods.com/modules/PH6660#timetable","Timetable")</f>
      </c>
      <c r="D2881" s="5"/>
      <c r="E2881" s="5"/>
      <c r="F2881" s="0" t="s">
        <v>73</v>
      </c>
      <c r="G2881" s="0" t="s">
        <v>1514</v>
      </c>
      <c r="H2881" s="3">
        <v>1</v>
      </c>
    </row>
    <row r="2882">
      <c r="A2882" s="0" t="s">
        <v>5196</v>
      </c>
      <c r="B2882" s="0" t="s">
        <v>995</v>
      </c>
      <c r="C2882" s="5">
        <f>=HYPERLINK("https://nusmods.com/modules/PH6770#timetable","Timetable")</f>
      </c>
      <c r="D2882" s="5"/>
      <c r="E2882" s="5">
        <f>=HYPERLINK("https://luminus.nus.edu.sg/modules/5c6f1607-42c5-4e0a-b5d3-f036365ed437","LumiNUS course site")</f>
      </c>
      <c r="F2882" s="0" t="s">
        <v>73</v>
      </c>
      <c r="G2882" s="0" t="s">
        <v>1514</v>
      </c>
      <c r="H2882" s="3">
        <v>4</v>
      </c>
    </row>
    <row r="2883">
      <c r="A2883" s="0" t="s">
        <v>5197</v>
      </c>
      <c r="B2883" s="0" t="s">
        <v>5198</v>
      </c>
      <c r="C2883" s="5">
        <f>=HYPERLINK("https://nusmods.com/modules/PHS1101#timetable","Timetable")</f>
      </c>
      <c r="D2883" s="5">
        <f>=HYPERLINK("https://canvas.nus.edu.sg/courses/23635","Canvas course site")</f>
      </c>
      <c r="E2883" s="5"/>
      <c r="F2883" s="0" t="s">
        <v>266</v>
      </c>
      <c r="G2883" s="0" t="s">
        <v>5199</v>
      </c>
      <c r="H2883" s="3">
        <v>76</v>
      </c>
    </row>
    <row r="2884">
      <c r="A2884" s="0" t="s">
        <v>5200</v>
      </c>
      <c r="B2884" s="0" t="s">
        <v>5201</v>
      </c>
      <c r="C2884" s="5">
        <f>=HYPERLINK("https://nusmods.com/modules/PHS2101#timetable","Timetable")</f>
      </c>
      <c r="D2884" s="5"/>
      <c r="E2884" s="5">
        <f>=HYPERLINK("https://luminus.nus.edu.sg/modules/092ba0ab-2d5e-40f0-abc5-bc44510dba9e","LumiNUS course site")</f>
      </c>
      <c r="F2884" s="0" t="s">
        <v>266</v>
      </c>
      <c r="G2884" s="0" t="s">
        <v>5199</v>
      </c>
      <c r="H2884" s="3">
        <v>61</v>
      </c>
    </row>
    <row r="2885">
      <c r="A2885" s="0" t="s">
        <v>5202</v>
      </c>
      <c r="B2885" s="0" t="s">
        <v>5203</v>
      </c>
      <c r="C2885" s="5">
        <f>=HYPERLINK("https://nusmods.com/modules/PHS2103#timetable","Timetable")</f>
      </c>
      <c r="D2885" s="5"/>
      <c r="E2885" s="5">
        <f>=HYPERLINK("https://luminus.nus.edu.sg/modules/94216663-0eb6-418c-b2ec-3d1f7826ed9e","LumiNUS course site")</f>
      </c>
      <c r="F2885" s="0" t="s">
        <v>266</v>
      </c>
      <c r="G2885" s="0" t="s">
        <v>5199</v>
      </c>
      <c r="H2885" s="3">
        <v>63</v>
      </c>
    </row>
    <row r="2886">
      <c r="A2886" s="0" t="s">
        <v>5204</v>
      </c>
      <c r="B2886" s="0" t="s">
        <v>5205</v>
      </c>
      <c r="C2886" s="5">
        <f>=HYPERLINK("https://nusmods.com/modules/PHS2117#timetable","Timetable")</f>
      </c>
      <c r="D2886" s="5"/>
      <c r="E2886" s="5">
        <f>=HYPERLINK("https://luminus.nus.edu.sg/modules/38d9286d-27ce-47dd-8eff-34c0316e79d7","LumiNUS course site")</f>
      </c>
      <c r="F2886" s="0" t="s">
        <v>266</v>
      </c>
      <c r="G2886" s="0" t="s">
        <v>5199</v>
      </c>
      <c r="H2886" s="3">
        <v>1</v>
      </c>
    </row>
    <row r="2887">
      <c r="A2887" s="0" t="s">
        <v>5206</v>
      </c>
      <c r="B2887" s="0" t="s">
        <v>5207</v>
      </c>
      <c r="C2887" s="5">
        <f>=HYPERLINK("https://nusmods.com/modules/PHS3116#timetable","Timetable")</f>
      </c>
      <c r="D2887" s="5"/>
      <c r="E2887" s="5">
        <f>=HYPERLINK("https://luminus.nus.edu.sg/modules/a12e5221-e458-468b-8739-df623ca7e9bf","LumiNUS course site")</f>
      </c>
      <c r="F2887" s="0" t="s">
        <v>266</v>
      </c>
      <c r="G2887" s="0" t="s">
        <v>5199</v>
      </c>
      <c r="H2887" s="3">
        <v>46</v>
      </c>
    </row>
    <row r="2888">
      <c r="A2888" s="0" t="s">
        <v>5208</v>
      </c>
      <c r="B2888" s="0" t="s">
        <v>5209</v>
      </c>
      <c r="C2888" s="5">
        <f>=HYPERLINK("https://nusmods.com/modules/PHS3122#timetable","Timetable")</f>
      </c>
      <c r="D2888" s="5">
        <f>=HYPERLINK("https://canvas.nus.edu.sg/courses/23648","Canvas course site")</f>
      </c>
      <c r="E2888" s="5"/>
      <c r="F2888" s="0" t="s">
        <v>266</v>
      </c>
      <c r="G2888" s="0" t="s">
        <v>5199</v>
      </c>
      <c r="H2888" s="3">
        <v>39</v>
      </c>
    </row>
    <row r="2889">
      <c r="A2889" s="0" t="s">
        <v>5210</v>
      </c>
      <c r="B2889" s="0" t="s">
        <v>5211</v>
      </c>
      <c r="C2889" s="5">
        <f>=HYPERLINK("https://nusmods.com/modules/PHS3123#timetable","Timetable")</f>
      </c>
      <c r="D2889" s="5"/>
      <c r="E2889" s="5">
        <f>=HYPERLINK("https://luminus.nus.edu.sg/modules/58fe334a-fe91-4cbe-975a-a64d1fbc699f","LumiNUS course site")</f>
      </c>
      <c r="F2889" s="0" t="s">
        <v>266</v>
      </c>
      <c r="G2889" s="0" t="s">
        <v>5199</v>
      </c>
      <c r="H2889" s="3">
        <v>46</v>
      </c>
    </row>
    <row r="2890">
      <c r="A2890" s="0" t="s">
        <v>5212</v>
      </c>
      <c r="B2890" s="0" t="s">
        <v>5213</v>
      </c>
      <c r="C2890" s="5">
        <f>=HYPERLINK("https://nusmods.com/modules/PHS3191#timetable","Timetable")</f>
      </c>
      <c r="D2890" s="5">
        <f>=HYPERLINK("https://canvas.nus.edu.sg/courses/23656","Canvas course site")</f>
      </c>
      <c r="E2890" s="5"/>
      <c r="F2890" s="0" t="s">
        <v>266</v>
      </c>
      <c r="G2890" s="0" t="s">
        <v>5199</v>
      </c>
      <c r="H2890" s="3">
        <v>46</v>
      </c>
    </row>
    <row r="2891">
      <c r="A2891" s="0" t="s">
        <v>5214</v>
      </c>
      <c r="B2891" s="0" t="s">
        <v>1089</v>
      </c>
      <c r="C2891" s="5">
        <f>=HYPERLINK("https://nusmods.com/modules/PHS3312#timetable","Timetable")</f>
      </c>
      <c r="D2891" s="5"/>
      <c r="E2891" s="5"/>
      <c r="F2891" s="0" t="s">
        <v>266</v>
      </c>
      <c r="G2891" s="0" t="s">
        <v>5199</v>
      </c>
      <c r="H2891" s="3">
        <v>0</v>
      </c>
    </row>
    <row r="2892">
      <c r="A2892" s="0" t="s">
        <v>5215</v>
      </c>
      <c r="B2892" s="0" t="s">
        <v>5216</v>
      </c>
      <c r="C2892" s="5">
        <f>=HYPERLINK("https://nusmods.com/modules/PHS4121#timetable","Timetable")</f>
      </c>
      <c r="D2892" s="5">
        <f>=HYPERLINK("https://canvas.nus.edu.sg/courses/23664","Canvas course site")</f>
      </c>
      <c r="E2892" s="5"/>
      <c r="F2892" s="0" t="s">
        <v>266</v>
      </c>
      <c r="G2892" s="0" t="s">
        <v>5199</v>
      </c>
      <c r="H2892" s="3">
        <v>42</v>
      </c>
    </row>
    <row r="2893">
      <c r="A2893" s="0" t="s">
        <v>5217</v>
      </c>
      <c r="B2893" s="0" t="s">
        <v>5218</v>
      </c>
      <c r="C2893" s="5">
        <f>=HYPERLINK("https://nusmods.com/modules/PHS4199#timetable","Timetable")</f>
      </c>
      <c r="D2893" s="5">
        <f>=HYPERLINK("https://canvas.nus.edu.sg/courses/22536","Canvas course site")</f>
      </c>
      <c r="E2893" s="5">
        <f>=HYPERLINK("https://luminus.nus.edu.sg/modules/f6576b25-dcc5-4de3-b45d-4d236a525806","LumiNUS course site")</f>
      </c>
      <c r="F2893" s="0" t="s">
        <v>266</v>
      </c>
      <c r="G2893" s="0" t="s">
        <v>5199</v>
      </c>
      <c r="H2893" s="3">
        <v>42</v>
      </c>
    </row>
    <row r="2894">
      <c r="A2894" s="0" t="s">
        <v>5219</v>
      </c>
      <c r="B2894" s="0" t="s">
        <v>5220</v>
      </c>
      <c r="C2894" s="5">
        <f>=HYPERLINK("https://nusmods.com/modules/PL1101E#timetable","Timetable")</f>
      </c>
      <c r="D2894" s="5">
        <f>=HYPERLINK("https://canvas.nus.edu.sg/courses/23669","Canvas course site")</f>
      </c>
      <c r="E2894" s="5">
        <f>=HYPERLINK("https://luminus.nus.edu.sg/modules/750a048a-6fd3-44e3-ab40-0dd86feb1a99","LumiNUS course site")</f>
      </c>
      <c r="F2894" s="0" t="s">
        <v>73</v>
      </c>
      <c r="G2894" s="0" t="s">
        <v>5221</v>
      </c>
      <c r="H2894" s="3">
        <v>541</v>
      </c>
    </row>
    <row r="2895">
      <c r="A2895" s="0" t="s">
        <v>5222</v>
      </c>
      <c r="B2895" s="0" t="s">
        <v>5223</v>
      </c>
      <c r="C2895" s="5">
        <f>=HYPERLINK("https://nusmods.com/modules/PL2131#timetable","Timetable")</f>
      </c>
      <c r="D2895" s="5"/>
      <c r="E2895" s="5">
        <f>=HYPERLINK("https://luminus.nus.edu.sg/modules/de90788c-a9e0-4971-a058-9f86c7d76c21","LumiNUS course site")</f>
      </c>
      <c r="F2895" s="0" t="s">
        <v>73</v>
      </c>
      <c r="G2895" s="0" t="s">
        <v>5221</v>
      </c>
      <c r="H2895" s="3">
        <v>233</v>
      </c>
    </row>
    <row r="2896">
      <c r="A2896" s="0" t="s">
        <v>5224</v>
      </c>
      <c r="B2896" s="0" t="s">
        <v>5225</v>
      </c>
      <c r="C2896" s="5">
        <f>=HYPERLINK("https://nusmods.com/modules/PL2132#timetable","Timetable")</f>
      </c>
      <c r="D2896" s="5"/>
      <c r="E2896" s="5">
        <f>=HYPERLINK("https://luminus.nus.edu.sg/modules/a2e9a332-57d3-4772-9b63-c23ed6f71f33","LumiNUS course site")</f>
      </c>
      <c r="F2896" s="0" t="s">
        <v>73</v>
      </c>
      <c r="G2896" s="0" t="s">
        <v>5221</v>
      </c>
      <c r="H2896" s="3">
        <v>186</v>
      </c>
    </row>
    <row r="2897">
      <c r="A2897" s="0" t="s">
        <v>5226</v>
      </c>
      <c r="B2897" s="0" t="s">
        <v>5227</v>
      </c>
      <c r="C2897" s="5">
        <f>=HYPERLINK("https://nusmods.com/modules/PL3102#timetable","Timetable")</f>
      </c>
      <c r="D2897" s="5"/>
      <c r="E2897" s="5">
        <f>=HYPERLINK("https://luminus.nus.edu.sg/modules/b97210bb-1fcd-4a03-8159-2ba70cc96f74","LumiNUS course site")</f>
      </c>
      <c r="F2897" s="0" t="s">
        <v>73</v>
      </c>
      <c r="G2897" s="0" t="s">
        <v>5221</v>
      </c>
      <c r="H2897" s="3">
        <v>161</v>
      </c>
    </row>
    <row r="2898">
      <c r="A2898" s="0" t="s">
        <v>5228</v>
      </c>
      <c r="B2898" s="0" t="s">
        <v>5229</v>
      </c>
      <c r="C2898" s="5">
        <f>=HYPERLINK("https://nusmods.com/modules/PL3103#timetable","Timetable")</f>
      </c>
      <c r="D2898" s="5"/>
      <c r="E2898" s="5">
        <f>=HYPERLINK("https://luminus.nus.edu.sg/modules/abc74476-986e-4179-be6d-844d458fda02","LumiNUS course site")</f>
      </c>
      <c r="F2898" s="0" t="s">
        <v>73</v>
      </c>
      <c r="G2898" s="0" t="s">
        <v>5221</v>
      </c>
      <c r="H2898" s="3">
        <v>176</v>
      </c>
    </row>
    <row r="2899">
      <c r="A2899" s="0" t="s">
        <v>5230</v>
      </c>
      <c r="B2899" s="0" t="s">
        <v>5231</v>
      </c>
      <c r="C2899" s="5">
        <f>=HYPERLINK("https://nusmods.com/modules/PL3104#timetable","Timetable")</f>
      </c>
      <c r="D2899" s="5"/>
      <c r="E2899" s="5">
        <f>=HYPERLINK("https://luminus.nus.edu.sg/modules/213e17f4-2d9c-440e-a28c-5b753c3ab49a","LumiNUS course site")</f>
      </c>
      <c r="F2899" s="0" t="s">
        <v>73</v>
      </c>
      <c r="G2899" s="0" t="s">
        <v>5221</v>
      </c>
      <c r="H2899" s="3">
        <v>177</v>
      </c>
    </row>
    <row r="2900">
      <c r="A2900" s="0" t="s">
        <v>5232</v>
      </c>
      <c r="B2900" s="0" t="s">
        <v>5233</v>
      </c>
      <c r="C2900" s="5">
        <f>=HYPERLINK("https://nusmods.com/modules/PL3105#timetable","Timetable")</f>
      </c>
      <c r="D2900" s="5"/>
      <c r="E2900" s="5">
        <f>=HYPERLINK("https://luminus.nus.edu.sg/modules/12cf14b7-320b-41ea-88d9-5bf25371b113","LumiNUS course site")</f>
      </c>
      <c r="F2900" s="0" t="s">
        <v>73</v>
      </c>
      <c r="G2900" s="0" t="s">
        <v>5221</v>
      </c>
      <c r="H2900" s="3">
        <v>173</v>
      </c>
    </row>
    <row r="2901">
      <c r="A2901" s="0" t="s">
        <v>5234</v>
      </c>
      <c r="B2901" s="0" t="s">
        <v>5235</v>
      </c>
      <c r="C2901" s="5">
        <f>=HYPERLINK("https://nusmods.com/modules/PL3106#timetable","Timetable")</f>
      </c>
      <c r="D2901" s="5"/>
      <c r="E2901" s="5">
        <f>=HYPERLINK("https://luminus.nus.edu.sg/modules/204a13a4-37b0-4d10-9b5e-304af76080d4","LumiNUS course site")</f>
      </c>
      <c r="F2901" s="0" t="s">
        <v>73</v>
      </c>
      <c r="G2901" s="0" t="s">
        <v>5221</v>
      </c>
      <c r="H2901" s="3">
        <v>176</v>
      </c>
    </row>
    <row r="2902">
      <c r="A2902" s="0" t="s">
        <v>5236</v>
      </c>
      <c r="B2902" s="0" t="s">
        <v>626</v>
      </c>
      <c r="C2902" s="5">
        <f>=HYPERLINK("https://nusmods.com/modules/PL3231#timetable","Timetable")</f>
      </c>
      <c r="D2902" s="5"/>
      <c r="E2902" s="5"/>
      <c r="F2902" s="0" t="s">
        <v>73</v>
      </c>
      <c r="G2902" s="0" t="s">
        <v>5221</v>
      </c>
      <c r="H2902" s="3">
        <v>2</v>
      </c>
    </row>
    <row r="2903">
      <c r="A2903" s="0" t="s">
        <v>5237</v>
      </c>
      <c r="B2903" s="0" t="s">
        <v>5238</v>
      </c>
      <c r="C2903" s="5">
        <f>=HYPERLINK("https://nusmods.com/modules/PL3252#timetable","Timetable")</f>
      </c>
      <c r="D2903" s="5"/>
      <c r="E2903" s="5">
        <f>=HYPERLINK("https://luminus.nus.edu.sg/modules/94cc1606-1a14-4d74-85da-244c357c04c6","LumiNUS course site")</f>
      </c>
      <c r="F2903" s="0" t="s">
        <v>73</v>
      </c>
      <c r="G2903" s="0" t="s">
        <v>5221</v>
      </c>
      <c r="H2903" s="3">
        <v>94</v>
      </c>
    </row>
    <row r="2904">
      <c r="A2904" s="0" t="s">
        <v>5239</v>
      </c>
      <c r="B2904" s="0" t="s">
        <v>5240</v>
      </c>
      <c r="C2904" s="5">
        <f>=HYPERLINK("https://nusmods.com/modules/PL3257#timetable","Timetable")</f>
      </c>
      <c r="D2904" s="5"/>
      <c r="E2904" s="5">
        <f>=HYPERLINK("https://luminus.nus.edu.sg/modules/90a4b7a0-72b1-4b0c-bd8d-bc5b61511ddc","LumiNUS course site")</f>
      </c>
      <c r="F2904" s="0" t="s">
        <v>73</v>
      </c>
      <c r="G2904" s="0" t="s">
        <v>5221</v>
      </c>
      <c r="H2904" s="3">
        <v>135</v>
      </c>
    </row>
    <row r="2905">
      <c r="A2905" s="0" t="s">
        <v>5241</v>
      </c>
      <c r="B2905" s="0" t="s">
        <v>5242</v>
      </c>
      <c r="C2905" s="5">
        <f>=HYPERLINK("https://nusmods.com/modules/PL3260#timetable","Timetable")</f>
      </c>
      <c r="D2905" s="5"/>
      <c r="E2905" s="5">
        <f>=HYPERLINK("https://luminus.nus.edu.sg/modules/5a97d2d8-8f4e-40e9-8bc5-0fa66cd8541c","LumiNUS course site")</f>
      </c>
      <c r="F2905" s="0" t="s">
        <v>73</v>
      </c>
      <c r="G2905" s="0" t="s">
        <v>5221</v>
      </c>
      <c r="H2905" s="3">
        <v>108</v>
      </c>
    </row>
    <row r="2906">
      <c r="A2906" s="0" t="s">
        <v>5243</v>
      </c>
      <c r="B2906" s="0" t="s">
        <v>5244</v>
      </c>
      <c r="C2906" s="5">
        <f>=HYPERLINK("https://nusmods.com/modules/PL3281#timetable","Timetable")</f>
      </c>
      <c r="D2906" s="5">
        <f>=HYPERLINK("https://canvas.nus.edu.sg/courses/23728","Canvas course site")</f>
      </c>
      <c r="E2906" s="5">
        <f>=HYPERLINK("https://luminus.nus.edu.sg/modules/3b35b883-43a9-4ec5-ad18-51c720ca7862","LumiNUS course site")</f>
      </c>
      <c r="F2906" s="0" t="s">
        <v>73</v>
      </c>
      <c r="G2906" s="0" t="s">
        <v>5221</v>
      </c>
      <c r="H2906" s="3">
        <v>20</v>
      </c>
    </row>
    <row r="2907">
      <c r="A2907" s="0" t="s">
        <v>5245</v>
      </c>
      <c r="B2907" s="0" t="s">
        <v>5246</v>
      </c>
      <c r="C2907" s="5">
        <f>=HYPERLINK("https://nusmods.com/modules/PL3281D#timetable","Timetable")</f>
      </c>
      <c r="D2907" s="5"/>
      <c r="E2907" s="5">
        <f>=HYPERLINK("https://luminus.nus.edu.sg/modules/a6b3450d-aec2-4583-afe6-a78ea8079a3a","LumiNUS course site")</f>
      </c>
      <c r="F2907" s="0" t="s">
        <v>73</v>
      </c>
      <c r="G2907" s="0" t="s">
        <v>5221</v>
      </c>
      <c r="H2907" s="3">
        <v>9</v>
      </c>
    </row>
    <row r="2908">
      <c r="A2908" s="0" t="s">
        <v>5247</v>
      </c>
      <c r="B2908" s="0" t="s">
        <v>5248</v>
      </c>
      <c r="C2908" s="5">
        <f>=HYPERLINK("https://nusmods.com/modules/PL3281E#timetable","Timetable")</f>
      </c>
      <c r="D2908" s="5">
        <f>=HYPERLINK("https://canvas.nus.edu.sg/courses/23728","Canvas course site")</f>
      </c>
      <c r="E2908" s="5"/>
      <c r="F2908" s="0" t="s">
        <v>73</v>
      </c>
      <c r="G2908" s="0" t="s">
        <v>5221</v>
      </c>
      <c r="H2908" s="3">
        <v>16</v>
      </c>
    </row>
    <row r="2909">
      <c r="A2909" s="0" t="s">
        <v>5249</v>
      </c>
      <c r="B2909" s="0" t="s">
        <v>5250</v>
      </c>
      <c r="C2909" s="5">
        <f>=HYPERLINK("https://nusmods.com/modules/PL3282#timetable","Timetable")</f>
      </c>
      <c r="D2909" s="5"/>
      <c r="E2909" s="5">
        <f>=HYPERLINK("https://luminus.nus.edu.sg/modules/65011da3-28f2-41ee-8dd3-3f416f2fd732","LumiNUS course site")</f>
      </c>
      <c r="F2909" s="0" t="s">
        <v>73</v>
      </c>
      <c r="G2909" s="0" t="s">
        <v>5221</v>
      </c>
      <c r="H2909" s="3">
        <v>20</v>
      </c>
    </row>
    <row r="2910">
      <c r="A2910" s="0" t="s">
        <v>5251</v>
      </c>
      <c r="B2910" s="0" t="s">
        <v>5252</v>
      </c>
      <c r="C2910" s="5">
        <f>=HYPERLINK("https://nusmods.com/modules/PL3283#timetable","Timetable")</f>
      </c>
      <c r="D2910" s="5"/>
      <c r="E2910" s="5">
        <f>=HYPERLINK("https://luminus.nus.edu.sg/modules/d7ca13cc-c181-43ee-98ba-8c9ac10738ed","LumiNUS course site")</f>
      </c>
      <c r="F2910" s="0" t="s">
        <v>73</v>
      </c>
      <c r="G2910" s="0" t="s">
        <v>5221</v>
      </c>
      <c r="H2910" s="3">
        <v>20</v>
      </c>
    </row>
    <row r="2911">
      <c r="A2911" s="0" t="s">
        <v>5253</v>
      </c>
      <c r="B2911" s="0" t="s">
        <v>5254</v>
      </c>
      <c r="C2911" s="5">
        <f>=HYPERLINK("https://nusmods.com/modules/PL3284#timetable","Timetable")</f>
      </c>
      <c r="D2911" s="5"/>
      <c r="E2911" s="5">
        <f>=HYPERLINK("https://luminus.nus.edu.sg/modules/c81f4216-f3e2-494b-97fa-8adf452339ea","LumiNUS course site")</f>
      </c>
      <c r="F2911" s="0" t="s">
        <v>73</v>
      </c>
      <c r="G2911" s="0" t="s">
        <v>5221</v>
      </c>
      <c r="H2911" s="3">
        <v>18</v>
      </c>
    </row>
    <row r="2912">
      <c r="A2912" s="0" t="s">
        <v>5255</v>
      </c>
      <c r="B2912" s="0" t="s">
        <v>5256</v>
      </c>
      <c r="C2912" s="5">
        <f>=HYPERLINK("https://nusmods.com/modules/PL3287A#timetable","Timetable")</f>
      </c>
      <c r="D2912" s="5"/>
      <c r="E2912" s="5">
        <f>=HYPERLINK("https://luminus.nus.edu.sg/modules/6f288c39-ed7f-4cb9-8ea2-30e7e364fac2","LumiNUS course site")</f>
      </c>
      <c r="F2912" s="0" t="s">
        <v>73</v>
      </c>
      <c r="G2912" s="0" t="s">
        <v>5221</v>
      </c>
      <c r="H2912" s="3">
        <v>19</v>
      </c>
    </row>
    <row r="2913">
      <c r="A2913" s="0" t="s">
        <v>5257</v>
      </c>
      <c r="B2913" s="0" t="s">
        <v>1773</v>
      </c>
      <c r="C2913" s="5">
        <f>=HYPERLINK("https://nusmods.com/modules/PL3551#timetable","Timetable")</f>
      </c>
      <c r="D2913" s="5"/>
      <c r="E2913" s="5"/>
      <c r="F2913" s="0" t="s">
        <v>73</v>
      </c>
      <c r="G2913" s="0" t="s">
        <v>5221</v>
      </c>
      <c r="H2913" s="3">
        <v>19</v>
      </c>
    </row>
    <row r="2914">
      <c r="A2914" s="0" t="s">
        <v>5258</v>
      </c>
      <c r="B2914" s="0" t="s">
        <v>5259</v>
      </c>
      <c r="C2914" s="5">
        <f>=HYPERLINK("https://nusmods.com/modules/PL4201#timetable","Timetable")</f>
      </c>
      <c r="D2914" s="5"/>
      <c r="E2914" s="5">
        <f>=HYPERLINK("https://luminus.nus.edu.sg/modules/a9566d0e-73a1-4e06-aaaf-f8536653f9a5","LumiNUS course site")</f>
      </c>
      <c r="F2914" s="0" t="s">
        <v>73</v>
      </c>
      <c r="G2914" s="0" t="s">
        <v>5221</v>
      </c>
      <c r="H2914" s="3">
        <v>48</v>
      </c>
    </row>
    <row r="2915">
      <c r="A2915" s="0" t="s">
        <v>5260</v>
      </c>
      <c r="B2915" s="0" t="s">
        <v>5261</v>
      </c>
      <c r="C2915" s="5">
        <f>=HYPERLINK("https://nusmods.com/modules/PL4205#timetable","Timetable")</f>
      </c>
      <c r="D2915" s="5"/>
      <c r="E2915" s="5">
        <f>=HYPERLINK("https://luminus.nus.edu.sg/modules/bbd5101d-3913-44b1-934f-b5af02addfe7","LumiNUS course site")</f>
      </c>
      <c r="F2915" s="0" t="s">
        <v>73</v>
      </c>
      <c r="G2915" s="0" t="s">
        <v>5221</v>
      </c>
      <c r="H2915" s="3">
        <v>40</v>
      </c>
    </row>
    <row r="2916">
      <c r="A2916" s="0" t="s">
        <v>5262</v>
      </c>
      <c r="B2916" s="0" t="s">
        <v>5263</v>
      </c>
      <c r="C2916" s="5">
        <f>=HYPERLINK("https://nusmods.com/modules/PL4206#timetable","Timetable")</f>
      </c>
      <c r="D2916" s="5"/>
      <c r="E2916" s="5">
        <f>=HYPERLINK("https://luminus.nus.edu.sg/modules/05ec1d98-c3ca-4f74-bd25-28edf98b6277","LumiNUS course site")</f>
      </c>
      <c r="F2916" s="0" t="s">
        <v>73</v>
      </c>
      <c r="G2916" s="0" t="s">
        <v>5221</v>
      </c>
      <c r="H2916" s="3">
        <v>13</v>
      </c>
    </row>
    <row r="2917">
      <c r="A2917" s="0" t="s">
        <v>5264</v>
      </c>
      <c r="B2917" s="0" t="s">
        <v>5265</v>
      </c>
      <c r="C2917" s="5">
        <f>=HYPERLINK("https://nusmods.com/modules/PL4218#timetable","Timetable")</f>
      </c>
      <c r="D2917" s="5">
        <f>=HYPERLINK("https://canvas.nus.edu.sg/courses/23761","Canvas course site")</f>
      </c>
      <c r="E2917" s="5">
        <f>=HYPERLINK("https://luminus.nus.edu.sg/modules/07d7a277-27a0-4bcc-b5d5-2272e7b8798a","LumiNUS course site")</f>
      </c>
      <c r="F2917" s="0" t="s">
        <v>73</v>
      </c>
      <c r="G2917" s="0" t="s">
        <v>5221</v>
      </c>
      <c r="H2917" s="3">
        <v>79</v>
      </c>
    </row>
    <row r="2918">
      <c r="A2918" s="0" t="s">
        <v>5266</v>
      </c>
      <c r="B2918" s="0" t="s">
        <v>5267</v>
      </c>
      <c r="C2918" s="5">
        <f>=HYPERLINK("https://nusmods.com/modules/PL4219#timetable","Timetable")</f>
      </c>
      <c r="D2918" s="5"/>
      <c r="E2918" s="5">
        <f>=HYPERLINK("https://luminus.nus.edu.sg/modules/4398996b-9f40-4dac-ac28-52c4bbba5840","LumiNUS course site")</f>
      </c>
      <c r="F2918" s="0" t="s">
        <v>73</v>
      </c>
      <c r="G2918" s="0" t="s">
        <v>5221</v>
      </c>
      <c r="H2918" s="3">
        <v>40</v>
      </c>
    </row>
    <row r="2919">
      <c r="A2919" s="0" t="s">
        <v>5268</v>
      </c>
      <c r="B2919" s="0" t="s">
        <v>5269</v>
      </c>
      <c r="C2919" s="5">
        <f>=HYPERLINK("https://nusmods.com/modules/PL4224#timetable","Timetable")</f>
      </c>
      <c r="D2919" s="5"/>
      <c r="E2919" s="5">
        <f>=HYPERLINK("https://luminus.nus.edu.sg/modules/d19b30a4-5909-46bb-89a4-0f084c065eeb","LumiNUS course site")</f>
      </c>
      <c r="F2919" s="0" t="s">
        <v>73</v>
      </c>
      <c r="G2919" s="0" t="s">
        <v>5221</v>
      </c>
      <c r="H2919" s="3">
        <v>40</v>
      </c>
    </row>
    <row r="2920">
      <c r="A2920" s="0" t="s">
        <v>5270</v>
      </c>
      <c r="B2920" s="0" t="s">
        <v>5271</v>
      </c>
      <c r="C2920" s="5">
        <f>=HYPERLINK("https://nusmods.com/modules/PL4227#timetable","Timetable")</f>
      </c>
      <c r="D2920" s="5"/>
      <c r="E2920" s="5">
        <f>=HYPERLINK("https://luminus.nus.edu.sg/modules/6cda4498-eafa-410c-b717-da10db8e7f7c","LumiNUS course site")</f>
      </c>
      <c r="F2920" s="0" t="s">
        <v>73</v>
      </c>
      <c r="G2920" s="0" t="s">
        <v>5221</v>
      </c>
      <c r="H2920" s="3">
        <v>20</v>
      </c>
    </row>
    <row r="2921">
      <c r="A2921" s="0" t="s">
        <v>5272</v>
      </c>
      <c r="B2921" s="0" t="s">
        <v>5273</v>
      </c>
      <c r="C2921" s="5">
        <f>=HYPERLINK("https://nusmods.com/modules/PL4228#timetable","Timetable")</f>
      </c>
      <c r="D2921" s="5"/>
      <c r="E2921" s="5">
        <f>=HYPERLINK("https://luminus.nus.edu.sg/modules/23a1f909-5e84-4cd8-bbac-d593f2ada9b3","LumiNUS course site")</f>
      </c>
      <c r="F2921" s="0" t="s">
        <v>73</v>
      </c>
      <c r="G2921" s="0" t="s">
        <v>5221</v>
      </c>
      <c r="H2921" s="3">
        <v>40</v>
      </c>
    </row>
    <row r="2922">
      <c r="A2922" s="0" t="s">
        <v>5274</v>
      </c>
      <c r="B2922" s="0" t="s">
        <v>5275</v>
      </c>
      <c r="C2922" s="5">
        <f>=HYPERLINK("https://nusmods.com/modules/PL4229#timetable","Timetable")</f>
      </c>
      <c r="D2922" s="5"/>
      <c r="E2922" s="5">
        <f>=HYPERLINK("https://luminus.nus.edu.sg/modules/14191c97-74f7-4c39-a631-003235ac4bf7","LumiNUS course site")</f>
      </c>
      <c r="F2922" s="0" t="s">
        <v>73</v>
      </c>
      <c r="G2922" s="0" t="s">
        <v>5221</v>
      </c>
      <c r="H2922" s="3">
        <v>80</v>
      </c>
    </row>
    <row r="2923">
      <c r="A2923" s="0" t="s">
        <v>5276</v>
      </c>
      <c r="B2923" s="0" t="s">
        <v>5277</v>
      </c>
      <c r="C2923" s="5">
        <f>=HYPERLINK("https://nusmods.com/modules/PL4234#timetable","Timetable")</f>
      </c>
      <c r="D2923" s="5"/>
      <c r="E2923" s="5">
        <f>=HYPERLINK("https://luminus.nus.edu.sg/modules/59d62be1-ed2e-44af-ac0d-1be9481281a8","LumiNUS course site")</f>
      </c>
      <c r="F2923" s="0" t="s">
        <v>73</v>
      </c>
      <c r="G2923" s="0" t="s">
        <v>5221</v>
      </c>
      <c r="H2923" s="3">
        <v>22</v>
      </c>
    </row>
    <row r="2924">
      <c r="A2924" s="0" t="s">
        <v>5278</v>
      </c>
      <c r="B2924" s="0" t="s">
        <v>5279</v>
      </c>
      <c r="C2924" s="5">
        <f>=HYPERLINK("https://nusmods.com/modules/PL4236#timetable","Timetable")</f>
      </c>
      <c r="D2924" s="5"/>
      <c r="E2924" s="5">
        <f>=HYPERLINK("https://luminus.nus.edu.sg/modules/683c6a73-09cd-4ae4-934b-b3499682d647","LumiNUS course site")</f>
      </c>
      <c r="F2924" s="0" t="s">
        <v>73</v>
      </c>
      <c r="G2924" s="0" t="s">
        <v>5221</v>
      </c>
      <c r="H2924" s="3">
        <v>40</v>
      </c>
    </row>
    <row r="2925">
      <c r="A2925" s="0" t="s">
        <v>5280</v>
      </c>
      <c r="B2925" s="0" t="s">
        <v>5281</v>
      </c>
      <c r="C2925" s="5">
        <f>=HYPERLINK("https://nusmods.com/modules/PL4242#timetable","Timetable")</f>
      </c>
      <c r="D2925" s="5"/>
      <c r="E2925" s="5">
        <f>=HYPERLINK("https://luminus.nus.edu.sg/modules/3da6e7c8-d9ec-4cf1-b4e4-1e2ebea23548","LumiNUS course site")</f>
      </c>
      <c r="F2925" s="0" t="s">
        <v>73</v>
      </c>
      <c r="G2925" s="0" t="s">
        <v>5221</v>
      </c>
      <c r="H2925" s="3">
        <v>77</v>
      </c>
    </row>
    <row r="2926">
      <c r="A2926" s="0" t="s">
        <v>5282</v>
      </c>
      <c r="B2926" s="0" t="s">
        <v>5283</v>
      </c>
      <c r="C2926" s="5">
        <f>=HYPERLINK("https://nusmods.com/modules/PL4245#timetable","Timetable")</f>
      </c>
      <c r="D2926" s="5"/>
      <c r="E2926" s="5">
        <f>=HYPERLINK("https://luminus.nus.edu.sg/modules/9a1bb92c-5885-4a9a-8d92-e0afe48c78a0","LumiNUS course site")</f>
      </c>
      <c r="F2926" s="0" t="s">
        <v>73</v>
      </c>
      <c r="G2926" s="0" t="s">
        <v>5221</v>
      </c>
      <c r="H2926" s="3">
        <v>71</v>
      </c>
    </row>
    <row r="2927">
      <c r="A2927" s="0" t="s">
        <v>5284</v>
      </c>
      <c r="B2927" s="0" t="s">
        <v>5285</v>
      </c>
      <c r="C2927" s="5">
        <f>=HYPERLINK("https://nusmods.com/modules/PL4246#timetable","Timetable")</f>
      </c>
      <c r="D2927" s="5">
        <f>=HYPERLINK("https://canvas.nus.edu.sg/courses/23801","Canvas course site")</f>
      </c>
      <c r="E2927" s="5"/>
      <c r="F2927" s="0" t="s">
        <v>73</v>
      </c>
      <c r="G2927" s="0" t="s">
        <v>5221</v>
      </c>
      <c r="H2927" s="3">
        <v>79</v>
      </c>
    </row>
    <row r="2928">
      <c r="A2928" s="0" t="s">
        <v>5286</v>
      </c>
      <c r="B2928" s="0" t="s">
        <v>5287</v>
      </c>
      <c r="C2928" s="5">
        <f>=HYPERLINK("https://nusmods.com/modules/PL4247#timetable","Timetable")</f>
      </c>
      <c r="D2928" s="5"/>
      <c r="E2928" s="5">
        <f>=HYPERLINK("https://luminus.nus.edu.sg/modules/9c92903e-e1f4-4417-ada9-0467f7a3a8fe","LumiNUS course site")</f>
      </c>
      <c r="F2928" s="0" t="s">
        <v>73</v>
      </c>
      <c r="G2928" s="0" t="s">
        <v>5221</v>
      </c>
      <c r="H2928" s="3">
        <v>30</v>
      </c>
    </row>
    <row r="2929">
      <c r="A2929" s="0" t="s">
        <v>5288</v>
      </c>
      <c r="B2929" s="0" t="s">
        <v>980</v>
      </c>
      <c r="C2929" s="5">
        <f>=HYPERLINK("https://nusmods.com/modules/PL4401#timetable","Timetable")</f>
      </c>
      <c r="D2929" s="5">
        <f>=HYPERLINK("https://canvas.nus.edu.sg/courses/23817","Canvas course site")</f>
      </c>
      <c r="E2929" s="5">
        <f>=HYPERLINK("https://luminus.nus.edu.sg/modules/b9ead907-3ccd-4bc4-82c2-f0425eb900d0","LumiNUS course site")</f>
      </c>
      <c r="F2929" s="0" t="s">
        <v>73</v>
      </c>
      <c r="G2929" s="0" t="s">
        <v>5221</v>
      </c>
      <c r="H2929" s="3">
        <v>73</v>
      </c>
    </row>
    <row r="2930">
      <c r="A2930" s="0" t="s">
        <v>5289</v>
      </c>
      <c r="B2930" s="0" t="s">
        <v>5290</v>
      </c>
      <c r="C2930" s="5">
        <f>=HYPERLINK("https://nusmods.com/modules/PL4501#timetable","Timetable")</f>
      </c>
      <c r="D2930" s="5"/>
      <c r="E2930" s="5"/>
      <c r="F2930" s="0" t="s">
        <v>73</v>
      </c>
      <c r="G2930" s="0" t="s">
        <v>5221</v>
      </c>
      <c r="H2930" s="3">
        <v>2</v>
      </c>
    </row>
    <row r="2931">
      <c r="A2931" s="0" t="s">
        <v>5291</v>
      </c>
      <c r="B2931" s="0" t="s">
        <v>602</v>
      </c>
      <c r="C2931" s="5">
        <f>=HYPERLINK("https://nusmods.com/modules/PL4660#timetable","Timetable")</f>
      </c>
      <c r="D2931" s="5"/>
      <c r="E2931" s="5"/>
      <c r="F2931" s="0" t="s">
        <v>73</v>
      </c>
      <c r="G2931" s="0" t="s">
        <v>5221</v>
      </c>
      <c r="H2931" s="3">
        <v>1</v>
      </c>
    </row>
    <row r="2932">
      <c r="A2932" s="0" t="s">
        <v>5292</v>
      </c>
      <c r="B2932" s="0" t="s">
        <v>5293</v>
      </c>
      <c r="C2932" s="5">
        <f>=HYPERLINK("https://nusmods.com/modules/PL4880H#timetable","Timetable")</f>
      </c>
      <c r="D2932" s="5"/>
      <c r="E2932" s="5">
        <f>=HYPERLINK("https://luminus.nus.edu.sg/modules/a94efd51-b23a-4f06-8072-c12b58f426cd","LumiNUS course site")</f>
      </c>
      <c r="F2932" s="0" t="s">
        <v>73</v>
      </c>
      <c r="G2932" s="0" t="s">
        <v>5221</v>
      </c>
      <c r="H2932" s="3">
        <v>40</v>
      </c>
    </row>
    <row r="2933">
      <c r="A2933" s="0" t="s">
        <v>5294</v>
      </c>
      <c r="B2933" s="0" t="s">
        <v>5295</v>
      </c>
      <c r="C2933" s="5">
        <f>=HYPERLINK("https://nusmods.com/modules/PL4880K#timetable","Timetable")</f>
      </c>
      <c r="D2933" s="5"/>
      <c r="E2933" s="5">
        <f>=HYPERLINK("https://luminus.nus.edu.sg/modules/c3c327eb-a814-475c-8c00-143ada2a906b","LumiNUS course site")</f>
      </c>
      <c r="F2933" s="0" t="s">
        <v>73</v>
      </c>
      <c r="G2933" s="0" t="s">
        <v>5221</v>
      </c>
      <c r="H2933" s="3">
        <v>40</v>
      </c>
    </row>
    <row r="2934">
      <c r="A2934" s="0" t="s">
        <v>5296</v>
      </c>
      <c r="B2934" s="0" t="s">
        <v>5297</v>
      </c>
      <c r="C2934" s="5">
        <f>=HYPERLINK("https://nusmods.com/modules/PL4880P#timetable","Timetable")</f>
      </c>
      <c r="D2934" s="5"/>
      <c r="E2934" s="5">
        <f>=HYPERLINK("https://luminus.nus.edu.sg/modules/e60fca4a-88c5-4df9-a8ac-1db5b0a2770b","LumiNUS course site")</f>
      </c>
      <c r="F2934" s="0" t="s">
        <v>73</v>
      </c>
      <c r="G2934" s="0" t="s">
        <v>5221</v>
      </c>
      <c r="H2934" s="3">
        <v>39</v>
      </c>
    </row>
    <row r="2935">
      <c r="A2935" s="0" t="s">
        <v>5298</v>
      </c>
      <c r="B2935" s="0" t="s">
        <v>5299</v>
      </c>
      <c r="C2935" s="5">
        <f>=HYPERLINK("https://nusmods.com/modules/PL4880R#timetable","Timetable")</f>
      </c>
      <c r="D2935" s="5">
        <f>=HYPERLINK("https://canvas.nus.edu.sg/courses/23840","Canvas course site")</f>
      </c>
      <c r="E2935" s="5">
        <f>=HYPERLINK("https://luminus.nus.edu.sg/modules/c5a688cc-33a9-48f3-a22c-b67bc8583bb3","LumiNUS course site")</f>
      </c>
      <c r="F2935" s="0" t="s">
        <v>73</v>
      </c>
      <c r="G2935" s="0" t="s">
        <v>5221</v>
      </c>
      <c r="H2935" s="3">
        <v>40</v>
      </c>
    </row>
    <row r="2936">
      <c r="A2936" s="0" t="s">
        <v>5300</v>
      </c>
      <c r="B2936" s="0" t="s">
        <v>5301</v>
      </c>
      <c r="C2936" s="5">
        <f>=HYPERLINK("https://nusmods.com/modules/PL4880T#timetable","Timetable")</f>
      </c>
      <c r="D2936" s="5"/>
      <c r="E2936" s="5">
        <f>=HYPERLINK("https://luminus.nus.edu.sg/modules/ceef2e4d-b0e6-4874-bb20-095ff9da3f29","LumiNUS course site")</f>
      </c>
      <c r="F2936" s="0" t="s">
        <v>73</v>
      </c>
      <c r="G2936" s="0" t="s">
        <v>5221</v>
      </c>
      <c r="H2936" s="3">
        <v>39</v>
      </c>
    </row>
    <row r="2937">
      <c r="A2937" s="0" t="s">
        <v>5302</v>
      </c>
      <c r="B2937" s="0" t="s">
        <v>5303</v>
      </c>
      <c r="C2937" s="5">
        <f>=HYPERLINK("https://nusmods.com/modules/PL5221#timetable","Timetable")</f>
      </c>
      <c r="D2937" s="5"/>
      <c r="E2937" s="5">
        <f>=HYPERLINK("https://luminus.nus.edu.sg/modules/6f047759-8cdc-4463-bb82-e598cae22245","LumiNUS course site")</f>
      </c>
      <c r="F2937" s="0" t="s">
        <v>73</v>
      </c>
      <c r="G2937" s="0" t="s">
        <v>5221</v>
      </c>
      <c r="H2937" s="3">
        <v>18</v>
      </c>
    </row>
    <row r="2938">
      <c r="A2938" s="0" t="s">
        <v>5304</v>
      </c>
      <c r="B2938" s="0" t="s">
        <v>5305</v>
      </c>
      <c r="C2938" s="5">
        <f>=HYPERLINK("https://nusmods.com/modules/PL5221R#timetable","Timetable")</f>
      </c>
      <c r="D2938" s="5"/>
      <c r="E2938" s="5">
        <f>=HYPERLINK("https://luminus.nus.edu.sg/modules/6f047759-8cdc-4463-bb82-e598cae22245","LumiNUS course site")</f>
      </c>
      <c r="F2938" s="0" t="s">
        <v>73</v>
      </c>
      <c r="G2938" s="0" t="s">
        <v>5221</v>
      </c>
      <c r="H2938" s="3">
        <v>3</v>
      </c>
    </row>
    <row r="2939">
      <c r="A2939" s="0" t="s">
        <v>5306</v>
      </c>
      <c r="B2939" s="0" t="s">
        <v>5307</v>
      </c>
      <c r="C2939" s="5">
        <f>=HYPERLINK("https://nusmods.com/modules/PL5303#timetable","Timetable")</f>
      </c>
      <c r="D2939" s="5"/>
      <c r="E2939" s="5">
        <f>=HYPERLINK("https://luminus.nus.edu.sg/modules/ef32cbf3-2c8c-4ad4-a01a-1ef27e7481ed","LumiNUS course site")</f>
      </c>
      <c r="F2939" s="0" t="s">
        <v>73</v>
      </c>
      <c r="G2939" s="0" t="s">
        <v>5221</v>
      </c>
      <c r="H2939" s="3">
        <v>6</v>
      </c>
    </row>
    <row r="2940">
      <c r="A2940" s="0" t="s">
        <v>5308</v>
      </c>
      <c r="B2940" s="0" t="s">
        <v>5307</v>
      </c>
      <c r="C2940" s="5">
        <f>=HYPERLINK("https://nusmods.com/modules/PL5303R#timetable","Timetable")</f>
      </c>
      <c r="D2940" s="5"/>
      <c r="E2940" s="5">
        <f>=HYPERLINK("https://luminus.nus.edu.sg/modules/ef32cbf3-2c8c-4ad4-a01a-1ef27e7481ed","LumiNUS course site")</f>
      </c>
      <c r="F2940" s="0" t="s">
        <v>73</v>
      </c>
      <c r="G2940" s="0" t="s">
        <v>5221</v>
      </c>
      <c r="H2940" s="3">
        <v>0</v>
      </c>
    </row>
    <row r="2941">
      <c r="A2941" s="0" t="s">
        <v>5309</v>
      </c>
      <c r="B2941" s="0" t="s">
        <v>989</v>
      </c>
      <c r="C2941" s="5">
        <f>=HYPERLINK("https://nusmods.com/modules/PL5660#timetable","Timetable")</f>
      </c>
      <c r="D2941" s="5"/>
      <c r="E2941" s="5"/>
      <c r="F2941" s="0" t="s">
        <v>73</v>
      </c>
      <c r="G2941" s="0" t="s">
        <v>5221</v>
      </c>
      <c r="H2941" s="3">
        <v>0</v>
      </c>
    </row>
    <row r="2942">
      <c r="A2942" s="0" t="s">
        <v>5310</v>
      </c>
      <c r="B2942" s="0" t="s">
        <v>5311</v>
      </c>
      <c r="C2942" s="5">
        <f>=HYPERLINK("https://nusmods.com/modules/PL6208#timetable","Timetable")</f>
      </c>
      <c r="D2942" s="5"/>
      <c r="E2942" s="5"/>
      <c r="F2942" s="0" t="s">
        <v>73</v>
      </c>
      <c r="G2942" s="0" t="s">
        <v>5221</v>
      </c>
      <c r="H2942" s="3">
        <v>3</v>
      </c>
    </row>
    <row r="2943">
      <c r="A2943" s="0" t="s">
        <v>5312</v>
      </c>
      <c r="B2943" s="0" t="s">
        <v>5313</v>
      </c>
      <c r="C2943" s="5">
        <f>=HYPERLINK("https://nusmods.com/modules/PL6215#timetable","Timetable")</f>
      </c>
      <c r="D2943" s="5"/>
      <c r="E2943" s="5"/>
      <c r="F2943" s="0" t="s">
        <v>73</v>
      </c>
      <c r="G2943" s="0" t="s">
        <v>5221</v>
      </c>
      <c r="H2943" s="3">
        <v>0</v>
      </c>
    </row>
    <row r="2944">
      <c r="A2944" s="0" t="s">
        <v>5314</v>
      </c>
      <c r="B2944" s="0" t="s">
        <v>989</v>
      </c>
      <c r="C2944" s="5">
        <f>=HYPERLINK("https://nusmods.com/modules/PL6660#timetable","Timetable")</f>
      </c>
      <c r="D2944" s="5"/>
      <c r="E2944" s="5"/>
      <c r="F2944" s="0" t="s">
        <v>73</v>
      </c>
      <c r="G2944" s="0" t="s">
        <v>5221</v>
      </c>
      <c r="H2944" s="3">
        <v>0</v>
      </c>
    </row>
    <row r="2945">
      <c r="A2945" s="0" t="s">
        <v>5315</v>
      </c>
      <c r="B2945" s="0" t="s">
        <v>995</v>
      </c>
      <c r="C2945" s="5">
        <f>=HYPERLINK("https://nusmods.com/modules/PL6770#timetable","Timetable")</f>
      </c>
      <c r="D2945" s="5"/>
      <c r="E2945" s="5">
        <f>=HYPERLINK("https://luminus.nus.edu.sg/modules/90e213b4-cfb1-494f-a4c1-5d36656a6060","LumiNUS course site")</f>
      </c>
      <c r="F2945" s="0" t="s">
        <v>73</v>
      </c>
      <c r="G2945" s="0" t="s">
        <v>5221</v>
      </c>
      <c r="H2945" s="3">
        <v>14</v>
      </c>
    </row>
    <row r="2946">
      <c r="A2946" s="0" t="s">
        <v>5316</v>
      </c>
      <c r="B2946" s="0" t="s">
        <v>5317</v>
      </c>
      <c r="C2946" s="5">
        <f>=HYPERLINK("https://nusmods.com/modules/PL6885#timetable","Timetable")</f>
      </c>
      <c r="D2946" s="5"/>
      <c r="E2946" s="5">
        <f>=HYPERLINK("https://luminus.nus.edu.sg/modules/47e3b2c3-e1eb-44b5-993a-a953fb40ace0","LumiNUS course site")</f>
      </c>
      <c r="F2946" s="0" t="s">
        <v>73</v>
      </c>
      <c r="G2946" s="0" t="s">
        <v>5221</v>
      </c>
      <c r="H2946" s="3">
        <v>8</v>
      </c>
    </row>
    <row r="2947">
      <c r="A2947" s="0" t="s">
        <v>5318</v>
      </c>
      <c r="B2947" s="0" t="s">
        <v>5319</v>
      </c>
      <c r="C2947" s="5">
        <f>=HYPERLINK("https://nusmods.com/modules/PLC5001#timetable","Timetable")</f>
      </c>
      <c r="D2947" s="5"/>
      <c r="E2947" s="5">
        <f>=HYPERLINK("https://luminus.nus.edu.sg/modules/090ebb95-199b-40ca-b302-ef9baf0d468c","LumiNUS course site")</f>
      </c>
      <c r="F2947" s="0" t="s">
        <v>73</v>
      </c>
      <c r="G2947" s="0" t="s">
        <v>5221</v>
      </c>
      <c r="H2947" s="3">
        <v>20</v>
      </c>
    </row>
    <row r="2948">
      <c r="A2948" s="0" t="s">
        <v>5320</v>
      </c>
      <c r="B2948" s="0" t="s">
        <v>5321</v>
      </c>
      <c r="C2948" s="5">
        <f>=HYPERLINK("https://nusmods.com/modules/PLC5002#timetable","Timetable")</f>
      </c>
      <c r="D2948" s="5"/>
      <c r="E2948" s="5">
        <f>=HYPERLINK("https://luminus.nus.edu.sg/modules/c2d8e651-a36c-4f16-b4fd-a27d9160f3e9","LumiNUS course site")</f>
      </c>
      <c r="F2948" s="0" t="s">
        <v>73</v>
      </c>
      <c r="G2948" s="0" t="s">
        <v>5221</v>
      </c>
      <c r="H2948" s="3">
        <v>20</v>
      </c>
    </row>
    <row r="2949">
      <c r="A2949" s="0" t="s">
        <v>5322</v>
      </c>
      <c r="B2949" s="0" t="s">
        <v>5323</v>
      </c>
      <c r="C2949" s="5">
        <f>=HYPERLINK("https://nusmods.com/modules/PLC5004#timetable","Timetable")</f>
      </c>
      <c r="D2949" s="5">
        <f>=HYPERLINK("https://canvas.nus.edu.sg/courses/23901","Canvas course site")</f>
      </c>
      <c r="E2949" s="5">
        <f>=HYPERLINK("https://luminus.nus.edu.sg/modules/f8184028-fe46-4989-944c-19fc8b7257b8","LumiNUS course site")</f>
      </c>
      <c r="F2949" s="0" t="s">
        <v>73</v>
      </c>
      <c r="G2949" s="0" t="s">
        <v>5221</v>
      </c>
      <c r="H2949" s="3">
        <v>20</v>
      </c>
    </row>
    <row r="2950">
      <c r="A2950" s="0" t="s">
        <v>5324</v>
      </c>
      <c r="B2950" s="0" t="s">
        <v>5325</v>
      </c>
      <c r="C2950" s="5">
        <f>=HYPERLINK("https://nusmods.com/modules/PLC5005#timetable","Timetable")</f>
      </c>
      <c r="D2950" s="5"/>
      <c r="E2950" s="5">
        <f>=HYPERLINK("https://luminus.nus.edu.sg/modules/e467a1ff-5ed5-470a-a173-6f8f48f6e29d","LumiNUS course site")</f>
      </c>
      <c r="F2950" s="0" t="s">
        <v>73</v>
      </c>
      <c r="G2950" s="0" t="s">
        <v>5221</v>
      </c>
      <c r="H2950" s="3">
        <v>20</v>
      </c>
    </row>
    <row r="2951">
      <c r="A2951" s="0" t="s">
        <v>5326</v>
      </c>
      <c r="B2951" s="0" t="s">
        <v>5327</v>
      </c>
      <c r="C2951" s="5">
        <f>=HYPERLINK("https://nusmods.com/modules/PLC5006#timetable","Timetable")</f>
      </c>
      <c r="D2951" s="5"/>
      <c r="E2951" s="5">
        <f>=HYPERLINK("https://luminus.nus.edu.sg/modules/4b578b3e-7e86-4cfa-9635-66c0c9f90e6c","LumiNUS course site")</f>
      </c>
      <c r="F2951" s="0" t="s">
        <v>73</v>
      </c>
      <c r="G2951" s="0" t="s">
        <v>5221</v>
      </c>
      <c r="H2951" s="3">
        <v>20</v>
      </c>
    </row>
    <row r="2952">
      <c r="A2952" s="0" t="s">
        <v>5328</v>
      </c>
      <c r="B2952" s="0" t="s">
        <v>5329</v>
      </c>
      <c r="C2952" s="5">
        <f>=HYPERLINK("https://nusmods.com/modules/PLC5007#timetable","Timetable")</f>
      </c>
      <c r="D2952" s="5"/>
      <c r="E2952" s="5">
        <f>=HYPERLINK("https://luminus.nus.edu.sg/modules/79b5d11c-0e52-419f-b3cd-d71af68adf2d","LumiNUS course site")</f>
      </c>
      <c r="F2952" s="0" t="s">
        <v>73</v>
      </c>
      <c r="G2952" s="0" t="s">
        <v>5221</v>
      </c>
      <c r="H2952" s="3">
        <v>17</v>
      </c>
    </row>
    <row r="2953">
      <c r="A2953" s="0" t="s">
        <v>5330</v>
      </c>
      <c r="B2953" s="0" t="s">
        <v>5331</v>
      </c>
      <c r="C2953" s="5">
        <f>=HYPERLINK("https://nusmods.com/modules/PLC5009#timetable","Timetable")</f>
      </c>
      <c r="D2953" s="5"/>
      <c r="E2953" s="5">
        <f>=HYPERLINK("https://luminus.nus.edu.sg/modules/8e2c5908-2fb5-4c07-b4ca-56291d6bf211","LumiNUS course site")</f>
      </c>
      <c r="F2953" s="0" t="s">
        <v>73</v>
      </c>
      <c r="G2953" s="0" t="s">
        <v>5221</v>
      </c>
      <c r="H2953" s="3">
        <v>20</v>
      </c>
    </row>
    <row r="2954">
      <c r="A2954" s="0" t="s">
        <v>5332</v>
      </c>
      <c r="B2954" s="0" t="s">
        <v>820</v>
      </c>
      <c r="C2954" s="5">
        <f>=HYPERLINK("https://nusmods.com/modules/PLC5010#timetable","Timetable")</f>
      </c>
      <c r="D2954" s="5"/>
      <c r="E2954" s="5">
        <f>=HYPERLINK("https://luminus.nus.edu.sg/modules/375d048e-da31-4f21-9c82-fe73ff33d732","LumiNUS course site")</f>
      </c>
      <c r="F2954" s="0" t="s">
        <v>73</v>
      </c>
      <c r="G2954" s="0" t="s">
        <v>5221</v>
      </c>
      <c r="H2954" s="3">
        <v>16</v>
      </c>
    </row>
    <row r="2955">
      <c r="A2955" s="0" t="s">
        <v>5333</v>
      </c>
      <c r="B2955" s="0" t="s">
        <v>5334</v>
      </c>
      <c r="C2955" s="5">
        <f>=HYPERLINK("https://nusmods.com/modules/PLC5011A#timetable","Timetable")</f>
      </c>
      <c r="D2955" s="5"/>
      <c r="E2955" s="5"/>
      <c r="F2955" s="0" t="s">
        <v>73</v>
      </c>
      <c r="G2955" s="0" t="s">
        <v>5221</v>
      </c>
      <c r="H2955" s="3">
        <v>0</v>
      </c>
    </row>
    <row r="2956">
      <c r="A2956" s="0" t="s">
        <v>5335</v>
      </c>
      <c r="B2956" s="0" t="s">
        <v>5336</v>
      </c>
      <c r="C2956" s="5">
        <f>=HYPERLINK("https://nusmods.com/modules/PLC5012B#timetable","Timetable")</f>
      </c>
      <c r="D2956" s="5"/>
      <c r="E2956" s="5">
        <f>=HYPERLINK("https://luminus.nus.edu.sg/modules/c7336e41-37f9-485e-9d55-9d12b451886b","LumiNUS course site")</f>
      </c>
      <c r="F2956" s="0" t="s">
        <v>73</v>
      </c>
      <c r="G2956" s="0" t="s">
        <v>5221</v>
      </c>
      <c r="H2956" s="3">
        <v>16</v>
      </c>
    </row>
    <row r="2957">
      <c r="A2957" s="0" t="s">
        <v>5337</v>
      </c>
      <c r="B2957" s="0" t="s">
        <v>5338</v>
      </c>
      <c r="C2957" s="5">
        <f>=HYPERLINK("https://nusmods.com/modules/PLC5013C#timetable","Timetable")</f>
      </c>
      <c r="D2957" s="5"/>
      <c r="E2957" s="5">
        <f>=HYPERLINK("https://luminus.nus.edu.sg/modules/5f9eda6f-d83e-45a6-ae8b-3bdc559ad4ce","LumiNUS course site")</f>
      </c>
      <c r="F2957" s="0" t="s">
        <v>73</v>
      </c>
      <c r="G2957" s="0" t="s">
        <v>5221</v>
      </c>
      <c r="H2957" s="3">
        <v>2</v>
      </c>
    </row>
    <row r="2958">
      <c r="A2958" s="0" t="s">
        <v>5339</v>
      </c>
      <c r="B2958" s="0" t="s">
        <v>5340</v>
      </c>
      <c r="C2958" s="5">
        <f>=HYPERLINK("https://nusmods.com/modules/PLS8001#timetable","Timetable")</f>
      </c>
      <c r="D2958" s="5"/>
      <c r="E2958" s="5">
        <f>=HYPERLINK("https://luminus.nus.edu.sg/modules/1d284c53-c90c-4c2c-9861-a990d1242c44","LumiNUS course site")</f>
      </c>
      <c r="F2958" s="0" t="s">
        <v>73</v>
      </c>
      <c r="G2958" s="0" t="s">
        <v>5221</v>
      </c>
      <c r="H2958" s="3">
        <v>261</v>
      </c>
    </row>
    <row r="2959">
      <c r="A2959" s="0" t="s">
        <v>5341</v>
      </c>
      <c r="B2959" s="0" t="s">
        <v>5342</v>
      </c>
      <c r="C2959" s="5">
        <f>=HYPERLINK("https://nusmods.com/modules/PLS8002#timetable","Timetable")</f>
      </c>
      <c r="D2959" s="5"/>
      <c r="E2959" s="5">
        <f>=HYPERLINK("https://luminus.nus.edu.sg/modules/57265232-320f-4ffb-a3e8-1b3859037724","LumiNUS course site")</f>
      </c>
      <c r="F2959" s="0" t="s">
        <v>73</v>
      </c>
      <c r="G2959" s="0" t="s">
        <v>5221</v>
      </c>
      <c r="H2959" s="3">
        <v>231</v>
      </c>
    </row>
    <row r="2960">
      <c r="A2960" s="0" t="s">
        <v>5343</v>
      </c>
      <c r="B2960" s="0" t="s">
        <v>5344</v>
      </c>
      <c r="C2960" s="5">
        <f>=HYPERLINK("https://nusmods.com/modules/PLS8003#timetable","Timetable")</f>
      </c>
      <c r="D2960" s="5"/>
      <c r="E2960" s="5">
        <f>=HYPERLINK("https://luminus.nus.edu.sg/modules/d77eb94b-a636-44e7-9eda-121de1c569f4","LumiNUS course site")</f>
      </c>
      <c r="F2960" s="0" t="s">
        <v>73</v>
      </c>
      <c r="G2960" s="0" t="s">
        <v>5221</v>
      </c>
      <c r="H2960" s="3">
        <v>238</v>
      </c>
    </row>
    <row r="2961">
      <c r="A2961" s="0" t="s">
        <v>5345</v>
      </c>
      <c r="B2961" s="0" t="s">
        <v>5346</v>
      </c>
      <c r="C2961" s="5">
        <f>=HYPERLINK("https://nusmods.com/modules/PLS8004#timetable","Timetable")</f>
      </c>
      <c r="D2961" s="5"/>
      <c r="E2961" s="5">
        <f>=HYPERLINK("https://luminus.nus.edu.sg/modules/c7df4f88-010a-4ad7-9eb2-a601db68be8f","LumiNUS course site")</f>
      </c>
      <c r="F2961" s="0" t="s">
        <v>73</v>
      </c>
      <c r="G2961" s="0" t="s">
        <v>5221</v>
      </c>
      <c r="H2961" s="3">
        <v>237</v>
      </c>
    </row>
    <row r="2962">
      <c r="A2962" s="0" t="s">
        <v>5347</v>
      </c>
      <c r="B2962" s="0" t="s">
        <v>5348</v>
      </c>
      <c r="C2962" s="5">
        <f>=HYPERLINK("https://nusmods.com/modules/PLS8005#timetable","Timetable")</f>
      </c>
      <c r="D2962" s="5"/>
      <c r="E2962" s="5">
        <f>=HYPERLINK("https://luminus.nus.edu.sg/modules/6fa67a42-b8c1-473e-b9db-dd9d05ac5a78","LumiNUS course site")</f>
      </c>
      <c r="F2962" s="0" t="s">
        <v>73</v>
      </c>
      <c r="G2962" s="0" t="s">
        <v>5221</v>
      </c>
      <c r="H2962" s="3">
        <v>251</v>
      </c>
    </row>
    <row r="2963">
      <c r="A2963" s="0" t="s">
        <v>5349</v>
      </c>
      <c r="B2963" s="0" t="s">
        <v>1472</v>
      </c>
      <c r="C2963" s="5">
        <f>=HYPERLINK("https://nusmods.com/modules/PM5000#timetable","Timetable")</f>
      </c>
      <c r="D2963" s="5"/>
      <c r="E2963" s="5"/>
      <c r="F2963" s="0" t="s">
        <v>10</v>
      </c>
      <c r="G2963" s="0" t="s">
        <v>660</v>
      </c>
      <c r="H2963" s="3">
        <v>0</v>
      </c>
    </row>
    <row r="2964">
      <c r="A2964" s="0" t="s">
        <v>5350</v>
      </c>
      <c r="B2964" s="0" t="s">
        <v>5351</v>
      </c>
      <c r="C2964" s="5">
        <f>=HYPERLINK("https://nusmods.com/modules/PM5103#timetable","Timetable")</f>
      </c>
      <c r="D2964" s="5"/>
      <c r="E2964" s="5">
        <f>=HYPERLINK("https://luminus.nus.edu.sg/modules/3139ba6e-0f3f-4261-b01b-3b522bb2d32e","LumiNUS course site")</f>
      </c>
      <c r="F2964" s="0" t="s">
        <v>10</v>
      </c>
      <c r="G2964" s="0" t="s">
        <v>660</v>
      </c>
      <c r="H2964" s="3">
        <v>53</v>
      </c>
    </row>
    <row r="2965">
      <c r="A2965" s="0" t="s">
        <v>5352</v>
      </c>
      <c r="B2965" s="0" t="s">
        <v>5353</v>
      </c>
      <c r="C2965" s="5">
        <f>=HYPERLINK("https://nusmods.com/modules/PM5106#timetable","Timetable")</f>
      </c>
      <c r="D2965" s="5"/>
      <c r="E2965" s="5">
        <f>=HYPERLINK("https://luminus.nus.edu.sg/modules/83e7524b-c70a-4857-9676-85c04943e480","LumiNUS course site")</f>
      </c>
      <c r="F2965" s="0" t="s">
        <v>10</v>
      </c>
      <c r="G2965" s="0" t="s">
        <v>660</v>
      </c>
      <c r="H2965" s="3">
        <v>31</v>
      </c>
    </row>
    <row r="2966">
      <c r="A2966" s="0" t="s">
        <v>5354</v>
      </c>
      <c r="B2966" s="0" t="s">
        <v>5355</v>
      </c>
      <c r="C2966" s="5">
        <f>=HYPERLINK("https://nusmods.com/modules/PM5111#timetable","Timetable")</f>
      </c>
      <c r="D2966" s="5"/>
      <c r="E2966" s="5"/>
      <c r="F2966" s="0" t="s">
        <v>10</v>
      </c>
      <c r="G2966" s="0" t="s">
        <v>660</v>
      </c>
      <c r="H2966" s="3">
        <v>0</v>
      </c>
    </row>
    <row r="2967">
      <c r="A2967" s="0" t="s">
        <v>5356</v>
      </c>
      <c r="B2967" s="0" t="s">
        <v>5357</v>
      </c>
      <c r="C2967" s="5">
        <f>=HYPERLINK("https://nusmods.com/modules/PM5112#timetable","Timetable")</f>
      </c>
      <c r="D2967" s="5"/>
      <c r="E2967" s="5">
        <f>=HYPERLINK("https://luminus.nus.edu.sg/modules/fe87534b-e50e-4ea9-97d1-416ecfa74e5b","LumiNUS course site")</f>
      </c>
      <c r="F2967" s="0" t="s">
        <v>10</v>
      </c>
      <c r="G2967" s="0" t="s">
        <v>660</v>
      </c>
      <c r="H2967" s="3">
        <v>51</v>
      </c>
    </row>
    <row r="2968">
      <c r="A2968" s="0" t="s">
        <v>5358</v>
      </c>
      <c r="B2968" s="0" t="s">
        <v>5359</v>
      </c>
      <c r="C2968" s="5">
        <f>=HYPERLINK("https://nusmods.com/modules/PM5113#timetable","Timetable")</f>
      </c>
      <c r="D2968" s="5"/>
      <c r="E2968" s="5">
        <f>=HYPERLINK("https://luminus.nus.edu.sg/modules/db000596-276f-4dad-a6ca-4bc8590fe348","LumiNUS course site")</f>
      </c>
      <c r="F2968" s="0" t="s">
        <v>10</v>
      </c>
      <c r="G2968" s="0" t="s">
        <v>660</v>
      </c>
      <c r="H2968" s="3">
        <v>30</v>
      </c>
    </row>
    <row r="2969">
      <c r="A2969" s="0" t="s">
        <v>5360</v>
      </c>
      <c r="B2969" s="0" t="s">
        <v>5361</v>
      </c>
      <c r="C2969" s="5">
        <f>=HYPERLINK("https://nusmods.com/modules/PM5114#timetable","Timetable")</f>
      </c>
      <c r="D2969" s="5">
        <f>=HYPERLINK("https://canvas.nus.edu.sg/courses/23988","Canvas course site")</f>
      </c>
      <c r="E2969" s="5"/>
      <c r="F2969" s="0" t="s">
        <v>10</v>
      </c>
      <c r="G2969" s="0" t="s">
        <v>660</v>
      </c>
      <c r="H2969" s="3">
        <v>49</v>
      </c>
    </row>
    <row r="2970">
      <c r="A2970" s="0" t="s">
        <v>5362</v>
      </c>
      <c r="B2970" s="0" t="s">
        <v>5363</v>
      </c>
      <c r="C2970" s="5">
        <f>=HYPERLINK("https://nusmods.com/modules/PM5116#timetable","Timetable")</f>
      </c>
      <c r="D2970" s="5"/>
      <c r="E2970" s="5">
        <f>=HYPERLINK("https://luminus.nus.edu.sg/modules/8ea7e301-de02-4b96-8156-f8c181f94e76","LumiNUS course site")</f>
      </c>
      <c r="F2970" s="0" t="s">
        <v>10</v>
      </c>
      <c r="G2970" s="0" t="s">
        <v>660</v>
      </c>
      <c r="H2970" s="3">
        <v>46</v>
      </c>
    </row>
    <row r="2971">
      <c r="A2971" s="0" t="s">
        <v>5364</v>
      </c>
      <c r="B2971" s="0" t="s">
        <v>5365</v>
      </c>
      <c r="C2971" s="5">
        <f>=HYPERLINK("https://nusmods.com/modules/PP5015#timetable","Timetable")</f>
      </c>
      <c r="D2971" s="5"/>
      <c r="E2971" s="5">
        <f>=HYPERLINK("https://luminus.nus.edu.sg/modules/419788db-731b-4ae4-b94d-5da1c10365bb","LumiNUS course site")</f>
      </c>
      <c r="F2971" s="0" t="s">
        <v>5366</v>
      </c>
      <c r="G2971" s="0" t="s">
        <v>5367</v>
      </c>
      <c r="H2971" s="3">
        <v>38</v>
      </c>
    </row>
    <row r="2972">
      <c r="A2972" s="0" t="s">
        <v>5368</v>
      </c>
      <c r="B2972" s="0" t="s">
        <v>5369</v>
      </c>
      <c r="C2972" s="5">
        <f>=HYPERLINK("https://nusmods.com/modules/PP5016#timetable","Timetable")</f>
      </c>
      <c r="D2972" s="5"/>
      <c r="E2972" s="5">
        <f>=HYPERLINK("https://luminus.nus.edu.sg/modules/4e45881c-4722-4537-beab-70723b1b28e5","LumiNUS course site")</f>
      </c>
      <c r="F2972" s="0" t="s">
        <v>5366</v>
      </c>
      <c r="G2972" s="0" t="s">
        <v>5367</v>
      </c>
      <c r="H2972" s="3">
        <v>37</v>
      </c>
    </row>
    <row r="2973">
      <c r="A2973" s="0" t="s">
        <v>5370</v>
      </c>
      <c r="B2973" s="0" t="s">
        <v>5371</v>
      </c>
      <c r="C2973" s="5">
        <f>=HYPERLINK("https://nusmods.com/modules/PP5017#timetable","Timetable")</f>
      </c>
      <c r="D2973" s="5"/>
      <c r="E2973" s="5">
        <f>=HYPERLINK("https://luminus.nus.edu.sg/modules/1e97dcaf-acc5-46ce-9419-987c8facedc4","LumiNUS course site")</f>
      </c>
      <c r="F2973" s="0" t="s">
        <v>5366</v>
      </c>
      <c r="G2973" s="0" t="s">
        <v>5367</v>
      </c>
      <c r="H2973" s="3">
        <v>39</v>
      </c>
    </row>
    <row r="2974">
      <c r="A2974" s="0" t="s">
        <v>5372</v>
      </c>
      <c r="B2974" s="0" t="s">
        <v>5373</v>
      </c>
      <c r="C2974" s="5">
        <f>=HYPERLINK("https://nusmods.com/modules/PP5018#timetable","Timetable")</f>
      </c>
      <c r="D2974" s="5"/>
      <c r="E2974" s="5">
        <f>=HYPERLINK("https://luminus.nus.edu.sg/modules/df48ff89-a1b0-460d-a089-450ac73826ee","LumiNUS course site")</f>
      </c>
      <c r="F2974" s="0" t="s">
        <v>5366</v>
      </c>
      <c r="G2974" s="0" t="s">
        <v>5367</v>
      </c>
      <c r="H2974" s="3">
        <v>37</v>
      </c>
    </row>
    <row r="2975">
      <c r="A2975" s="0" t="s">
        <v>5374</v>
      </c>
      <c r="B2975" s="0" t="s">
        <v>5375</v>
      </c>
      <c r="C2975" s="5">
        <f>=HYPERLINK("https://nusmods.com/modules/PP5019#timetable","Timetable")</f>
      </c>
      <c r="D2975" s="5"/>
      <c r="E2975" s="5">
        <f>=HYPERLINK("https://luminus.nus.edu.sg/modules/714d508c-a3e5-439d-8432-86a7de8fdad3","LumiNUS course site")</f>
      </c>
      <c r="F2975" s="0" t="s">
        <v>5366</v>
      </c>
      <c r="G2975" s="0" t="s">
        <v>5367</v>
      </c>
      <c r="H2975" s="3">
        <v>28</v>
      </c>
    </row>
    <row r="2976">
      <c r="A2976" s="0" t="s">
        <v>5376</v>
      </c>
      <c r="B2976" s="0" t="s">
        <v>5377</v>
      </c>
      <c r="C2976" s="5">
        <f>=HYPERLINK("https://nusmods.com/modules/PP5020#timetable","Timetable")</f>
      </c>
      <c r="D2976" s="5"/>
      <c r="E2976" s="5">
        <f>=HYPERLINK("https://luminus.nus.edu.sg/modules/09787a4d-fd0e-44d2-843f-3821ed87148b","LumiNUS course site")</f>
      </c>
      <c r="F2976" s="0" t="s">
        <v>5366</v>
      </c>
      <c r="G2976" s="0" t="s">
        <v>5367</v>
      </c>
      <c r="H2976" s="3">
        <v>27</v>
      </c>
    </row>
    <row r="2977">
      <c r="A2977" s="0" t="s">
        <v>5378</v>
      </c>
      <c r="B2977" s="0" t="s">
        <v>5379</v>
      </c>
      <c r="C2977" s="5">
        <f>=HYPERLINK("https://nusmods.com/modules/PP5021#timetable","Timetable")</f>
      </c>
      <c r="D2977" s="5"/>
      <c r="E2977" s="5">
        <f>=HYPERLINK("https://luminus.nus.edu.sg/modules/2a7aaf87-be54-4aa5-b4a9-fc7383eaa147","LumiNUS course site")</f>
      </c>
      <c r="F2977" s="0" t="s">
        <v>5366</v>
      </c>
      <c r="G2977" s="0" t="s">
        <v>5367</v>
      </c>
      <c r="H2977" s="3">
        <v>28</v>
      </c>
    </row>
    <row r="2978">
      <c r="A2978" s="0" t="s">
        <v>5380</v>
      </c>
      <c r="B2978" s="0" t="s">
        <v>5381</v>
      </c>
      <c r="C2978" s="5">
        <f>=HYPERLINK("https://nusmods.com/modules/PP5022#timetable","Timetable")</f>
      </c>
      <c r="D2978" s="5"/>
      <c r="E2978" s="5">
        <f>=HYPERLINK("https://luminus.nus.edu.sg/modules/3c86dde4-3fe3-4365-a580-69711df8106d","LumiNUS course site")</f>
      </c>
      <c r="F2978" s="0" t="s">
        <v>5366</v>
      </c>
      <c r="G2978" s="0" t="s">
        <v>5367</v>
      </c>
      <c r="H2978" s="3">
        <v>27</v>
      </c>
    </row>
    <row r="2979">
      <c r="A2979" s="0" t="s">
        <v>5382</v>
      </c>
      <c r="B2979" s="0" t="s">
        <v>5383</v>
      </c>
      <c r="C2979" s="5">
        <f>=HYPERLINK("https://nusmods.com/modules/PP5023#timetable","Timetable")</f>
      </c>
      <c r="D2979" s="5"/>
      <c r="E2979" s="5">
        <f>=HYPERLINK("https://luminus.nus.edu.sg/modules/ef28ec45-92d8-4737-a390-258f18c4928c","LumiNUS course site")</f>
      </c>
      <c r="F2979" s="0" t="s">
        <v>5366</v>
      </c>
      <c r="G2979" s="0" t="s">
        <v>5367</v>
      </c>
      <c r="H2979" s="3">
        <v>32</v>
      </c>
    </row>
    <row r="2980">
      <c r="A2980" s="0" t="s">
        <v>5384</v>
      </c>
      <c r="B2980" s="0" t="s">
        <v>5385</v>
      </c>
      <c r="C2980" s="5">
        <f>=HYPERLINK("https://nusmods.com/modules/PP5024#timetable","Timetable")</f>
      </c>
      <c r="D2980" s="5"/>
      <c r="E2980" s="5">
        <f>=HYPERLINK("https://luminus.nus.edu.sg/modules/3c18d416-6ffd-4d5c-b9f4-3e63b3819812","LumiNUS course site")</f>
      </c>
      <c r="F2980" s="0" t="s">
        <v>5366</v>
      </c>
      <c r="G2980" s="0" t="s">
        <v>5367</v>
      </c>
      <c r="H2980" s="3">
        <v>33</v>
      </c>
    </row>
    <row r="2981">
      <c r="A2981" s="0" t="s">
        <v>5386</v>
      </c>
      <c r="B2981" s="0" t="s">
        <v>5387</v>
      </c>
      <c r="C2981" s="5">
        <f>=HYPERLINK("https://nusmods.com/modules/PP5025#timetable","Timetable")</f>
      </c>
      <c r="D2981" s="5"/>
      <c r="E2981" s="5">
        <f>=HYPERLINK("https://luminus.nus.edu.sg/modules/0cba2cc2-e307-478f-9c7c-14120f08c48c","LumiNUS course site")</f>
      </c>
      <c r="F2981" s="0" t="s">
        <v>5366</v>
      </c>
      <c r="G2981" s="0" t="s">
        <v>5367</v>
      </c>
      <c r="H2981" s="3">
        <v>33</v>
      </c>
    </row>
    <row r="2982">
      <c r="A2982" s="0" t="s">
        <v>5388</v>
      </c>
      <c r="B2982" s="0" t="s">
        <v>5389</v>
      </c>
      <c r="C2982" s="5">
        <f>=HYPERLINK("https://nusmods.com/modules/PP5026#timetable","Timetable")</f>
      </c>
      <c r="D2982" s="5"/>
      <c r="E2982" s="5">
        <f>=HYPERLINK("https://luminus.nus.edu.sg/modules/efce18c0-5cba-4fa9-b502-06f07a859f76","LumiNUS course site")</f>
      </c>
      <c r="F2982" s="0" t="s">
        <v>5366</v>
      </c>
      <c r="G2982" s="0" t="s">
        <v>5367</v>
      </c>
      <c r="H2982" s="3">
        <v>32</v>
      </c>
    </row>
    <row r="2983">
      <c r="A2983" s="0" t="s">
        <v>5390</v>
      </c>
      <c r="B2983" s="0" t="s">
        <v>5391</v>
      </c>
      <c r="C2983" s="5">
        <f>=HYPERLINK("https://nusmods.com/modules/PP5027#timetable","Timetable")</f>
      </c>
      <c r="D2983" s="5">
        <f>=HYPERLINK("https://canvas.nus.edu.sg/courses/22341","Canvas course site")</f>
      </c>
      <c r="E2983" s="5"/>
      <c r="F2983" s="0" t="s">
        <v>5366</v>
      </c>
      <c r="G2983" s="0" t="s">
        <v>5367</v>
      </c>
      <c r="H2983" s="3">
        <v>27</v>
      </c>
    </row>
    <row r="2984">
      <c r="A2984" s="0" t="s">
        <v>5392</v>
      </c>
      <c r="B2984" s="0" t="s">
        <v>5393</v>
      </c>
      <c r="C2984" s="5">
        <f>=HYPERLINK("https://nusmods.com/modules/PP5028#timetable","Timetable")</f>
      </c>
      <c r="D2984" s="5">
        <f>=HYPERLINK("https://canvas.nus.edu.sg/courses/22342","Canvas course site")</f>
      </c>
      <c r="E2984" s="5"/>
      <c r="F2984" s="0" t="s">
        <v>5366</v>
      </c>
      <c r="G2984" s="0" t="s">
        <v>5367</v>
      </c>
      <c r="H2984" s="3">
        <v>27</v>
      </c>
    </row>
    <row r="2985">
      <c r="A2985" s="0" t="s">
        <v>5394</v>
      </c>
      <c r="B2985" s="0" t="s">
        <v>5395</v>
      </c>
      <c r="C2985" s="5">
        <f>=HYPERLINK("https://nusmods.com/modules/PP5029#timetable","Timetable")</f>
      </c>
      <c r="D2985" s="5">
        <f>=HYPERLINK("https://canvas.nus.edu.sg/courses/22343","Canvas course site")</f>
      </c>
      <c r="E2985" s="5"/>
      <c r="F2985" s="0" t="s">
        <v>5366</v>
      </c>
      <c r="G2985" s="0" t="s">
        <v>5367</v>
      </c>
      <c r="H2985" s="3">
        <v>27</v>
      </c>
    </row>
    <row r="2986">
      <c r="A2986" s="0" t="s">
        <v>5396</v>
      </c>
      <c r="B2986" s="0" t="s">
        <v>5397</v>
      </c>
      <c r="C2986" s="5">
        <f>=HYPERLINK("https://nusmods.com/modules/PP5030#timetable","Timetable")</f>
      </c>
      <c r="D2986" s="5">
        <f>=HYPERLINK("https://canvas.nus.edu.sg/courses/22344","Canvas course site")</f>
      </c>
      <c r="E2986" s="5"/>
      <c r="F2986" s="0" t="s">
        <v>5366</v>
      </c>
      <c r="G2986" s="0" t="s">
        <v>5367</v>
      </c>
      <c r="H2986" s="3">
        <v>27</v>
      </c>
    </row>
    <row r="2987">
      <c r="A2987" s="0" t="s">
        <v>5398</v>
      </c>
      <c r="B2987" s="0" t="s">
        <v>5399</v>
      </c>
      <c r="C2987" s="5">
        <f>=HYPERLINK("https://nusmods.com/modules/PP5149#timetable","Timetable")</f>
      </c>
      <c r="D2987" s="5">
        <f>=HYPERLINK("https://canvas.nus.edu.sg/courses/24004","Canvas course site")</f>
      </c>
      <c r="E2987" s="5">
        <f>=HYPERLINK("https://luminus.nus.edu.sg/modules/01462795-6ed1-4ba9-b5c9-2b383783266c","LumiNUS course site")</f>
      </c>
      <c r="F2987" s="0" t="s">
        <v>5366</v>
      </c>
      <c r="G2987" s="0" t="s">
        <v>5367</v>
      </c>
      <c r="H2987" s="3">
        <v>40</v>
      </c>
    </row>
    <row r="2988">
      <c r="A2988" s="0" t="s">
        <v>5400</v>
      </c>
      <c r="B2988" s="0" t="s">
        <v>5401</v>
      </c>
      <c r="C2988" s="5">
        <f>=HYPERLINK("https://nusmods.com/modules/PP5203#timetable","Timetable")</f>
      </c>
      <c r="D2988" s="5">
        <f>=HYPERLINK("https://canvas.nus.edu.sg/courses/24015","Canvas course site")</f>
      </c>
      <c r="E2988" s="5"/>
      <c r="F2988" s="0" t="s">
        <v>5366</v>
      </c>
      <c r="G2988" s="0" t="s">
        <v>5367</v>
      </c>
      <c r="H2988" s="3">
        <v>37</v>
      </c>
    </row>
    <row r="2989">
      <c r="A2989" s="0" t="s">
        <v>5402</v>
      </c>
      <c r="B2989" s="0" t="s">
        <v>5403</v>
      </c>
      <c r="C2989" s="5">
        <f>=HYPERLINK("https://nusmods.com/modules/PP5227#timetable","Timetable")</f>
      </c>
      <c r="D2989" s="5">
        <f>=HYPERLINK("https://canvas.nus.edu.sg/courses/24021","Canvas course site")</f>
      </c>
      <c r="E2989" s="5"/>
      <c r="F2989" s="0" t="s">
        <v>5366</v>
      </c>
      <c r="G2989" s="0" t="s">
        <v>5367</v>
      </c>
      <c r="H2989" s="3">
        <v>33</v>
      </c>
    </row>
    <row r="2990">
      <c r="A2990" s="0" t="s">
        <v>5404</v>
      </c>
      <c r="B2990" s="0" t="s">
        <v>5405</v>
      </c>
      <c r="C2990" s="5">
        <f>=HYPERLINK("https://nusmods.com/modules/PP5234#timetable","Timetable")</f>
      </c>
      <c r="D2990" s="5">
        <f>=HYPERLINK("https://canvas.nus.edu.sg/courses/24026","Canvas course site")</f>
      </c>
      <c r="E2990" s="5"/>
      <c r="F2990" s="0" t="s">
        <v>5366</v>
      </c>
      <c r="G2990" s="0" t="s">
        <v>5367</v>
      </c>
      <c r="H2990" s="3">
        <v>34</v>
      </c>
    </row>
    <row r="2991">
      <c r="A2991" s="0" t="s">
        <v>5406</v>
      </c>
      <c r="B2991" s="0" t="s">
        <v>5407</v>
      </c>
      <c r="C2991" s="5">
        <f>=HYPERLINK("https://nusmods.com/modules/PP5267#timetable","Timetable")</f>
      </c>
      <c r="D2991" s="5">
        <f>=HYPERLINK("https://canvas.nus.edu.sg/courses/24031","Canvas course site")</f>
      </c>
      <c r="E2991" s="5"/>
      <c r="F2991" s="0" t="s">
        <v>5366</v>
      </c>
      <c r="G2991" s="0" t="s">
        <v>5367</v>
      </c>
      <c r="H2991" s="3">
        <v>32</v>
      </c>
    </row>
    <row r="2992">
      <c r="A2992" s="0" t="s">
        <v>5408</v>
      </c>
      <c r="B2992" s="0" t="s">
        <v>5409</v>
      </c>
      <c r="C2992" s="5">
        <f>=HYPERLINK("https://nusmods.com/modules/PP5278#timetable","Timetable")</f>
      </c>
      <c r="D2992" s="5">
        <f>=HYPERLINK("https://canvas.nus.edu.sg/courses/24037","Canvas course site")</f>
      </c>
      <c r="E2992" s="5"/>
      <c r="F2992" s="0" t="s">
        <v>5366</v>
      </c>
      <c r="G2992" s="0" t="s">
        <v>5367</v>
      </c>
      <c r="H2992" s="3">
        <v>23</v>
      </c>
    </row>
    <row r="2993">
      <c r="A2993" s="0" t="s">
        <v>5410</v>
      </c>
      <c r="B2993" s="0" t="s">
        <v>5411</v>
      </c>
      <c r="C2993" s="5">
        <f>=HYPERLINK("https://nusmods.com/modules/PP5288#timetable","Timetable")</f>
      </c>
      <c r="D2993" s="5">
        <f>=HYPERLINK("https://canvas.nus.edu.sg/courses/24041","Canvas course site")</f>
      </c>
      <c r="E2993" s="5"/>
      <c r="F2993" s="0" t="s">
        <v>5366</v>
      </c>
      <c r="G2993" s="0" t="s">
        <v>5367</v>
      </c>
      <c r="H2993" s="3">
        <v>34</v>
      </c>
    </row>
    <row r="2994">
      <c r="A2994" s="0" t="s">
        <v>5412</v>
      </c>
      <c r="B2994" s="0" t="s">
        <v>5413</v>
      </c>
      <c r="C2994" s="5">
        <f>=HYPERLINK("https://nusmods.com/modules/PP5297#timetable","Timetable")</f>
      </c>
      <c r="D2994" s="5">
        <f>=HYPERLINK("https://canvas.nus.edu.sg/courses/27529","Canvas course site")</f>
      </c>
      <c r="E2994" s="5"/>
      <c r="F2994" s="0" t="s">
        <v>5366</v>
      </c>
      <c r="G2994" s="0" t="s">
        <v>5367</v>
      </c>
      <c r="H2994" s="3">
        <v>37</v>
      </c>
    </row>
    <row r="2995">
      <c r="A2995" s="0" t="s">
        <v>5414</v>
      </c>
      <c r="B2995" s="0" t="s">
        <v>5415</v>
      </c>
      <c r="C2995" s="5">
        <f>=HYPERLINK("https://nusmods.com/modules/PP5403#timetable","Timetable")</f>
      </c>
      <c r="D2995" s="5"/>
      <c r="E2995" s="5">
        <f>=HYPERLINK("https://luminus.nus.edu.sg/modules/ebc3ac38-7ef7-47ba-a035-6a2c22f43fe8","LumiNUS course site")</f>
      </c>
      <c r="F2995" s="0" t="s">
        <v>5366</v>
      </c>
      <c r="G2995" s="0" t="s">
        <v>5367</v>
      </c>
      <c r="H2995" s="3">
        <v>58</v>
      </c>
    </row>
    <row r="2996">
      <c r="A2996" s="0" t="s">
        <v>5416</v>
      </c>
      <c r="B2996" s="0" t="s">
        <v>5417</v>
      </c>
      <c r="C2996" s="5">
        <f>=HYPERLINK("https://nusmods.com/modules/PP5406#timetable","Timetable")</f>
      </c>
      <c r="D2996" s="5">
        <f>=HYPERLINK("https://canvas.nus.edu.sg/courses/24052","Canvas course site")</f>
      </c>
      <c r="E2996" s="5"/>
      <c r="F2996" s="0" t="s">
        <v>5366</v>
      </c>
      <c r="G2996" s="0" t="s">
        <v>5367</v>
      </c>
      <c r="H2996" s="3">
        <v>57</v>
      </c>
    </row>
    <row r="2997">
      <c r="A2997" s="0" t="s">
        <v>5418</v>
      </c>
      <c r="B2997" s="0" t="s">
        <v>5419</v>
      </c>
      <c r="C2997" s="5">
        <f>=HYPERLINK("https://nusmods.com/modules/PP5409#timetable","Timetable")</f>
      </c>
      <c r="D2997" s="5">
        <f>=HYPERLINK("https://canvas.nus.edu.sg/courses/24057","Canvas course site")</f>
      </c>
      <c r="E2997" s="5"/>
      <c r="F2997" s="0" t="s">
        <v>5366</v>
      </c>
      <c r="G2997" s="0" t="s">
        <v>5367</v>
      </c>
      <c r="H2997" s="3">
        <v>57</v>
      </c>
    </row>
    <row r="2998">
      <c r="A2998" s="0" t="s">
        <v>5420</v>
      </c>
      <c r="B2998" s="0" t="s">
        <v>5421</v>
      </c>
      <c r="C2998" s="5">
        <f>=HYPERLINK("https://nusmods.com/modules/PP5410#timetable","Timetable")</f>
      </c>
      <c r="D2998" s="5"/>
      <c r="E2998" s="5">
        <f>=HYPERLINK("https://luminus.nus.edu.sg/modules/9697607d-b707-438e-8021-4372dbf5e1c4","LumiNUS course site")</f>
      </c>
      <c r="F2998" s="0" t="s">
        <v>5366</v>
      </c>
      <c r="G2998" s="0" t="s">
        <v>5367</v>
      </c>
      <c r="H2998" s="3">
        <v>70</v>
      </c>
    </row>
    <row r="2999">
      <c r="A2999" s="0" t="s">
        <v>5422</v>
      </c>
      <c r="B2999" s="0" t="s">
        <v>5423</v>
      </c>
      <c r="C2999" s="5">
        <f>=HYPERLINK("https://nusmods.com/modules/PP5504#timetable","Timetable")</f>
      </c>
      <c r="D2999" s="5">
        <f>=HYPERLINK("https://canvas.nus.edu.sg/courses/24067","Canvas course site")</f>
      </c>
      <c r="E2999" s="5"/>
      <c r="F2999" s="0" t="s">
        <v>5366</v>
      </c>
      <c r="G2999" s="0" t="s">
        <v>5367</v>
      </c>
      <c r="H2999" s="3">
        <v>26</v>
      </c>
    </row>
    <row r="3000">
      <c r="A3000" s="0" t="s">
        <v>5424</v>
      </c>
      <c r="B3000" s="0" t="s">
        <v>5425</v>
      </c>
      <c r="C3000" s="5">
        <f>=HYPERLINK("https://nusmods.com/modules/PP5515#timetable","Timetable")</f>
      </c>
      <c r="D3000" s="5">
        <f>=HYPERLINK("https://canvas.nus.edu.sg/courses/24077","Canvas course site")</f>
      </c>
      <c r="E3000" s="5"/>
      <c r="F3000" s="0" t="s">
        <v>5366</v>
      </c>
      <c r="G3000" s="0" t="s">
        <v>5367</v>
      </c>
      <c r="H3000" s="3">
        <v>35</v>
      </c>
    </row>
    <row r="3001">
      <c r="A3001" s="0" t="s">
        <v>5426</v>
      </c>
      <c r="B3001" s="0" t="s">
        <v>5427</v>
      </c>
      <c r="C3001" s="5">
        <f>=HYPERLINK("https://nusmods.com/modules/PP5516#timetable","Timetable")</f>
      </c>
      <c r="D3001" s="5">
        <f>=HYPERLINK("https://canvas.nus.edu.sg/courses/24082","Canvas course site")</f>
      </c>
      <c r="E3001" s="5"/>
      <c r="F3001" s="0" t="s">
        <v>5366</v>
      </c>
      <c r="G3001" s="0" t="s">
        <v>5367</v>
      </c>
      <c r="H3001" s="3">
        <v>20</v>
      </c>
    </row>
    <row r="3002">
      <c r="A3002" s="0" t="s">
        <v>5428</v>
      </c>
      <c r="B3002" s="0" t="s">
        <v>5429</v>
      </c>
      <c r="C3002" s="5">
        <f>=HYPERLINK("https://nusmods.com/modules/PP5530#timetable","Timetable")</f>
      </c>
      <c r="D3002" s="5">
        <f>=HYPERLINK("https://canvas.nus.edu.sg/courses/27288","Canvas course site")</f>
      </c>
      <c r="E3002" s="5"/>
      <c r="F3002" s="0" t="s">
        <v>5366</v>
      </c>
      <c r="G3002" s="0" t="s">
        <v>5367</v>
      </c>
      <c r="H3002" s="3">
        <v>26</v>
      </c>
    </row>
    <row r="3003">
      <c r="A3003" s="0" t="s">
        <v>5430</v>
      </c>
      <c r="B3003" s="0" t="s">
        <v>5431</v>
      </c>
      <c r="C3003" s="5">
        <f>=HYPERLINK("https://nusmods.com/modules/PP5534#timetable","Timetable")</f>
      </c>
      <c r="D3003" s="5">
        <f>=HYPERLINK("https://canvas.nus.edu.sg/courses/26914","Canvas course site")</f>
      </c>
      <c r="E3003" s="5"/>
      <c r="F3003" s="0" t="s">
        <v>5366</v>
      </c>
      <c r="G3003" s="0" t="s">
        <v>5367</v>
      </c>
      <c r="H3003" s="3">
        <v>30</v>
      </c>
    </row>
    <row r="3004">
      <c r="A3004" s="0" t="s">
        <v>5432</v>
      </c>
      <c r="B3004" s="0" t="s">
        <v>5433</v>
      </c>
      <c r="C3004" s="5">
        <f>=HYPERLINK("https://nusmods.com/modules/PP5701#timetable","Timetable")</f>
      </c>
      <c r="D3004" s="5">
        <f>=HYPERLINK("https://canvas.nus.edu.sg/courses/24091","Canvas course site")</f>
      </c>
      <c r="E3004" s="5"/>
      <c r="F3004" s="0" t="s">
        <v>5366</v>
      </c>
      <c r="G3004" s="0" t="s">
        <v>5367</v>
      </c>
      <c r="H3004" s="3">
        <v>51</v>
      </c>
    </row>
    <row r="3005">
      <c r="A3005" s="0" t="s">
        <v>5434</v>
      </c>
      <c r="B3005" s="0" t="s">
        <v>5435</v>
      </c>
      <c r="C3005" s="5">
        <f>=HYPERLINK("https://nusmods.com/modules/PP5702#timetable","Timetable")</f>
      </c>
      <c r="D3005" s="5">
        <f>=HYPERLINK("https://canvas.nus.edu.sg/courses/24095","Canvas course site")</f>
      </c>
      <c r="E3005" s="5"/>
      <c r="F3005" s="0" t="s">
        <v>5366</v>
      </c>
      <c r="G3005" s="0" t="s">
        <v>5367</v>
      </c>
      <c r="H3005" s="3">
        <v>48</v>
      </c>
    </row>
    <row r="3006">
      <c r="A3006" s="0" t="s">
        <v>5436</v>
      </c>
      <c r="B3006" s="0" t="s">
        <v>5437</v>
      </c>
      <c r="C3006" s="5">
        <f>=HYPERLINK("https://nusmods.com/modules/PP5705#timetable","Timetable")</f>
      </c>
      <c r="D3006" s="5">
        <f>=HYPERLINK("https://canvas.nus.edu.sg/courses/24100","Canvas course site")</f>
      </c>
      <c r="E3006" s="5"/>
      <c r="F3006" s="0" t="s">
        <v>5366</v>
      </c>
      <c r="G3006" s="0" t="s">
        <v>5367</v>
      </c>
      <c r="H3006" s="3">
        <v>51</v>
      </c>
    </row>
    <row r="3007">
      <c r="A3007" s="0" t="s">
        <v>5438</v>
      </c>
      <c r="B3007" s="0" t="s">
        <v>5439</v>
      </c>
      <c r="C3007" s="5">
        <f>=HYPERLINK("https://nusmods.com/modules/PP5706#timetable","Timetable")</f>
      </c>
      <c r="D3007" s="5">
        <f>=HYPERLINK("https://canvas.nus.edu.sg/courses/24104","Canvas course site")</f>
      </c>
      <c r="E3007" s="5"/>
      <c r="F3007" s="0" t="s">
        <v>5366</v>
      </c>
      <c r="G3007" s="0" t="s">
        <v>5367</v>
      </c>
      <c r="H3007" s="3">
        <v>51</v>
      </c>
    </row>
    <row r="3008">
      <c r="A3008" s="0" t="s">
        <v>5440</v>
      </c>
      <c r="B3008" s="0" t="s">
        <v>5441</v>
      </c>
      <c r="C3008" s="5">
        <f>=HYPERLINK("https://nusmods.com/modules/PP5717#timetable","Timetable")</f>
      </c>
      <c r="D3008" s="5"/>
      <c r="E3008" s="5"/>
      <c r="F3008" s="0" t="s">
        <v>5366</v>
      </c>
      <c r="G3008" s="0" t="s">
        <v>5367</v>
      </c>
      <c r="H3008" s="3">
        <v>0</v>
      </c>
    </row>
    <row r="3009">
      <c r="A3009" s="0" t="s">
        <v>5442</v>
      </c>
      <c r="B3009" s="0" t="s">
        <v>717</v>
      </c>
      <c r="C3009" s="5">
        <f>=HYPERLINK("https://nusmods.com/modules/PP5722#timetable","Timetable")</f>
      </c>
      <c r="D3009" s="5"/>
      <c r="E3009" s="5"/>
      <c r="F3009" s="0" t="s">
        <v>5366</v>
      </c>
      <c r="G3009" s="0" t="s">
        <v>5367</v>
      </c>
      <c r="H3009" s="3">
        <v>0</v>
      </c>
    </row>
    <row r="3010">
      <c r="A3010" s="0" t="s">
        <v>5443</v>
      </c>
      <c r="B3010" s="0" t="s">
        <v>5444</v>
      </c>
      <c r="C3010" s="5">
        <f>=HYPERLINK("https://nusmods.com/modules/PP5724#timetable","Timetable")</f>
      </c>
      <c r="D3010" s="5"/>
      <c r="E3010" s="5"/>
      <c r="F3010" s="0" t="s">
        <v>5366</v>
      </c>
      <c r="G3010" s="0" t="s">
        <v>5367</v>
      </c>
      <c r="H3010" s="3">
        <v>0</v>
      </c>
    </row>
    <row r="3011">
      <c r="A3011" s="0" t="s">
        <v>5445</v>
      </c>
      <c r="B3011" s="0" t="s">
        <v>5446</v>
      </c>
      <c r="C3011" s="5">
        <f>=HYPERLINK("https://nusmods.com/modules/PP5729#timetable","Timetable")</f>
      </c>
      <c r="D3011" s="5"/>
      <c r="E3011" s="5"/>
      <c r="F3011" s="0" t="s">
        <v>5366</v>
      </c>
      <c r="G3011" s="0" t="s">
        <v>5367</v>
      </c>
      <c r="H3011" s="3">
        <v>0</v>
      </c>
    </row>
    <row r="3012">
      <c r="A3012" s="0" t="s">
        <v>5447</v>
      </c>
      <c r="B3012" s="0" t="s">
        <v>5448</v>
      </c>
      <c r="C3012" s="5">
        <f>=HYPERLINK("https://nusmods.com/modules/PP5801#timetable","Timetable")</f>
      </c>
      <c r="D3012" s="5">
        <f>=HYPERLINK("https://canvas.nus.edu.sg/courses/24129","Canvas course site")</f>
      </c>
      <c r="E3012" s="5"/>
      <c r="F3012" s="0" t="s">
        <v>5366</v>
      </c>
      <c r="G3012" s="0" t="s">
        <v>5367</v>
      </c>
      <c r="H3012" s="3">
        <v>50</v>
      </c>
    </row>
    <row r="3013">
      <c r="A3013" s="0" t="s">
        <v>5449</v>
      </c>
      <c r="B3013" s="0" t="s">
        <v>5450</v>
      </c>
      <c r="C3013" s="5">
        <f>=HYPERLINK("https://nusmods.com/modules/PP5803#timetable","Timetable")</f>
      </c>
      <c r="D3013" s="5"/>
      <c r="E3013" s="5">
        <f>=HYPERLINK("https://luminus.nus.edu.sg/modules/18ff2efa-cdbf-414e-8341-a1d499dedb42","LumiNUS course site")</f>
      </c>
      <c r="F3013" s="0" t="s">
        <v>5366</v>
      </c>
      <c r="G3013" s="0" t="s">
        <v>5367</v>
      </c>
      <c r="H3013" s="3">
        <v>50</v>
      </c>
    </row>
    <row r="3014">
      <c r="A3014" s="0" t="s">
        <v>5451</v>
      </c>
      <c r="B3014" s="0" t="s">
        <v>5452</v>
      </c>
      <c r="C3014" s="5">
        <f>=HYPERLINK("https://nusmods.com/modules/PP5901#timetable","Timetable")</f>
      </c>
      <c r="D3014" s="5">
        <f>=HYPERLINK("https://canvas.nus.edu.sg/courses/24138","Canvas course site")</f>
      </c>
      <c r="E3014" s="5"/>
      <c r="F3014" s="0" t="s">
        <v>5366</v>
      </c>
      <c r="G3014" s="0" t="s">
        <v>5367</v>
      </c>
      <c r="H3014" s="3">
        <v>21</v>
      </c>
    </row>
    <row r="3015">
      <c r="A3015" s="0" t="s">
        <v>5453</v>
      </c>
      <c r="B3015" s="0" t="s">
        <v>5454</v>
      </c>
      <c r="C3015" s="5">
        <f>=HYPERLINK("https://nusmods.com/modules/PP5903#timetable","Timetable")</f>
      </c>
      <c r="D3015" s="5">
        <f>=HYPERLINK("https://canvas.nus.edu.sg/courses/24142","Canvas course site")</f>
      </c>
      <c r="E3015" s="5"/>
      <c r="F3015" s="0" t="s">
        <v>5366</v>
      </c>
      <c r="G3015" s="0" t="s">
        <v>5367</v>
      </c>
      <c r="H3015" s="3">
        <v>21</v>
      </c>
    </row>
    <row r="3016">
      <c r="A3016" s="0" t="s">
        <v>5455</v>
      </c>
      <c r="B3016" s="0" t="s">
        <v>5456</v>
      </c>
      <c r="C3016" s="5">
        <f>=HYPERLINK("https://nusmods.com/modules/PP5904#timetable","Timetable")</f>
      </c>
      <c r="D3016" s="5">
        <f>=HYPERLINK("https://canvas.nus.edu.sg/courses/24147","Canvas course site")</f>
      </c>
      <c r="E3016" s="5">
        <f>=HYPERLINK("https://luminus.nus.edu.sg/modules/dc1a2aa5-311a-493c-af50-7f9242b64816","LumiNUS course site")</f>
      </c>
      <c r="F3016" s="0" t="s">
        <v>5366</v>
      </c>
      <c r="G3016" s="0" t="s">
        <v>5367</v>
      </c>
      <c r="H3016" s="3">
        <v>21</v>
      </c>
    </row>
    <row r="3017">
      <c r="A3017" s="0" t="s">
        <v>5457</v>
      </c>
      <c r="B3017" s="0" t="s">
        <v>5458</v>
      </c>
      <c r="C3017" s="5">
        <f>=HYPERLINK("https://nusmods.com/modules/PP5905#timetable","Timetable")</f>
      </c>
      <c r="D3017" s="5">
        <f>=HYPERLINK("https://canvas.nus.edu.sg/courses/24152","Canvas course site")</f>
      </c>
      <c r="E3017" s="5"/>
      <c r="F3017" s="0" t="s">
        <v>5366</v>
      </c>
      <c r="G3017" s="0" t="s">
        <v>5367</v>
      </c>
      <c r="H3017" s="3">
        <v>24</v>
      </c>
    </row>
    <row r="3018">
      <c r="A3018" s="0" t="s">
        <v>5459</v>
      </c>
      <c r="B3018" s="0" t="s">
        <v>5460</v>
      </c>
      <c r="C3018" s="5">
        <f>=HYPERLINK("https://nusmods.com/modules/PP6703#timetable","Timetable")</f>
      </c>
      <c r="D3018" s="5"/>
      <c r="E3018" s="5">
        <f>=HYPERLINK("https://luminus.nus.edu.sg/modules/4c64caa0-5a87-4b79-8481-20388957ffbd","LumiNUS course site")</f>
      </c>
      <c r="F3018" s="0" t="s">
        <v>5366</v>
      </c>
      <c r="G3018" s="0" t="s">
        <v>5367</v>
      </c>
      <c r="H3018" s="3">
        <v>7</v>
      </c>
    </row>
    <row r="3019">
      <c r="A3019" s="0" t="s">
        <v>5461</v>
      </c>
      <c r="B3019" s="0" t="s">
        <v>5462</v>
      </c>
      <c r="C3019" s="5">
        <f>=HYPERLINK("https://nusmods.com/modules/PP6706#timetable","Timetable")</f>
      </c>
      <c r="D3019" s="5">
        <f>=HYPERLINK("https://canvas.nus.edu.sg/courses/24162","Canvas course site")</f>
      </c>
      <c r="E3019" s="5"/>
      <c r="F3019" s="0" t="s">
        <v>5366</v>
      </c>
      <c r="G3019" s="0" t="s">
        <v>5367</v>
      </c>
      <c r="H3019" s="3">
        <v>7</v>
      </c>
    </row>
    <row r="3020">
      <c r="A3020" s="0" t="s">
        <v>5463</v>
      </c>
      <c r="B3020" s="0" t="s">
        <v>5464</v>
      </c>
      <c r="C3020" s="5">
        <f>=HYPERLINK("https://nusmods.com/modules/PP6707#timetable","Timetable")</f>
      </c>
      <c r="D3020" s="5"/>
      <c r="E3020" s="5">
        <f>=HYPERLINK("https://luminus.nus.edu.sg/modules/2a806a32-8c7d-427e-9ff3-c15683484a8e","LumiNUS course site")</f>
      </c>
      <c r="F3020" s="0" t="s">
        <v>5366</v>
      </c>
      <c r="G3020" s="0" t="s">
        <v>5367</v>
      </c>
      <c r="H3020" s="3">
        <v>7</v>
      </c>
    </row>
    <row r="3021">
      <c r="A3021" s="0" t="s">
        <v>5465</v>
      </c>
      <c r="B3021" s="0" t="s">
        <v>5466</v>
      </c>
      <c r="C3021" s="5">
        <f>=HYPERLINK("https://nusmods.com/modules/PR1150#timetable","Timetable")</f>
      </c>
      <c r="D3021" s="5">
        <f>=HYPERLINK("https://canvas.nus.edu.sg/courses/24173","Canvas course site")</f>
      </c>
      <c r="E3021" s="5"/>
      <c r="F3021" s="0" t="s">
        <v>266</v>
      </c>
      <c r="G3021" s="0" t="s">
        <v>5199</v>
      </c>
      <c r="H3021" s="3">
        <v>154</v>
      </c>
    </row>
    <row r="3022">
      <c r="A3022" s="0" t="s">
        <v>5467</v>
      </c>
      <c r="B3022" s="0" t="s">
        <v>5468</v>
      </c>
      <c r="C3022" s="5">
        <f>=HYPERLINK("https://nusmods.com/modules/PR1151#timetable","Timetable")</f>
      </c>
      <c r="D3022" s="5">
        <f>=HYPERLINK("https://canvas.nus.edu.sg/courses/24178","Canvas course site")</f>
      </c>
      <c r="E3022" s="5">
        <f>=HYPERLINK("https://luminus.nus.edu.sg/modules/190337fb-3915-4b11-bc75-6ab20182ca36","LumiNUS course site")</f>
      </c>
      <c r="F3022" s="0" t="s">
        <v>266</v>
      </c>
      <c r="G3022" s="0" t="s">
        <v>5199</v>
      </c>
      <c r="H3022" s="3">
        <v>154</v>
      </c>
    </row>
    <row r="3023">
      <c r="A3023" s="0" t="s">
        <v>5469</v>
      </c>
      <c r="B3023" s="0" t="s">
        <v>5470</v>
      </c>
      <c r="C3023" s="5">
        <f>=HYPERLINK("https://nusmods.com/modules/PR1152#timetable","Timetable")</f>
      </c>
      <c r="D3023" s="5">
        <f>=HYPERLINK("https://canvas.nus.edu.sg/courses/24184","Canvas course site")</f>
      </c>
      <c r="E3023" s="5"/>
      <c r="F3023" s="0" t="s">
        <v>266</v>
      </c>
      <c r="G3023" s="0" t="s">
        <v>5199</v>
      </c>
      <c r="H3023" s="3">
        <v>154</v>
      </c>
    </row>
    <row r="3024">
      <c r="A3024" s="0" t="s">
        <v>5471</v>
      </c>
      <c r="B3024" s="0" t="s">
        <v>5472</v>
      </c>
      <c r="C3024" s="5">
        <f>=HYPERLINK("https://nusmods.com/modules/PR2150#timetable","Timetable")</f>
      </c>
      <c r="D3024" s="5">
        <f>=HYPERLINK("https://canvas.nus.edu.sg/courses/24189","Canvas course site")</f>
      </c>
      <c r="E3024" s="5"/>
      <c r="F3024" s="0" t="s">
        <v>266</v>
      </c>
      <c r="G3024" s="0" t="s">
        <v>5199</v>
      </c>
      <c r="H3024" s="3">
        <v>162</v>
      </c>
    </row>
    <row r="3025">
      <c r="A3025" s="0" t="s">
        <v>5473</v>
      </c>
      <c r="B3025" s="0" t="s">
        <v>5474</v>
      </c>
      <c r="C3025" s="5">
        <f>=HYPERLINK("https://nusmods.com/modules/PR2151#timetable","Timetable")</f>
      </c>
      <c r="D3025" s="5">
        <f>=HYPERLINK("https://canvas.nus.edu.sg/courses/24194","Canvas course site")</f>
      </c>
      <c r="E3025" s="5"/>
      <c r="F3025" s="0" t="s">
        <v>266</v>
      </c>
      <c r="G3025" s="0" t="s">
        <v>5199</v>
      </c>
      <c r="H3025" s="3">
        <v>162</v>
      </c>
    </row>
    <row r="3026">
      <c r="A3026" s="0" t="s">
        <v>5475</v>
      </c>
      <c r="B3026" s="0" t="s">
        <v>5476</v>
      </c>
      <c r="C3026" s="5">
        <f>=HYPERLINK("https://nusmods.com/modules/PR2152#timetable","Timetable")</f>
      </c>
      <c r="D3026" s="5">
        <f>=HYPERLINK("https://canvas.nus.edu.sg/courses/24198","Canvas course site")</f>
      </c>
      <c r="E3026" s="5"/>
      <c r="F3026" s="0" t="s">
        <v>266</v>
      </c>
      <c r="G3026" s="0" t="s">
        <v>5199</v>
      </c>
      <c r="H3026" s="3">
        <v>162</v>
      </c>
    </row>
    <row r="3027">
      <c r="A3027" s="0" t="s">
        <v>5477</v>
      </c>
      <c r="B3027" s="0" t="s">
        <v>5478</v>
      </c>
      <c r="C3027" s="5">
        <f>=HYPERLINK("https://nusmods.com/modules/PR2153#timetable","Timetable")</f>
      </c>
      <c r="D3027" s="5">
        <f>=HYPERLINK("https://canvas.nus.edu.sg/courses/24203","Canvas course site")</f>
      </c>
      <c r="E3027" s="5">
        <f>=HYPERLINK("https://luminus.nus.edu.sg/modules/62cc68c7-a67c-4881-b4c9-ddee1d4da1c3","LumiNUS course site")</f>
      </c>
      <c r="F3027" s="0" t="s">
        <v>266</v>
      </c>
      <c r="G3027" s="0" t="s">
        <v>5199</v>
      </c>
      <c r="H3027" s="3">
        <v>162</v>
      </c>
    </row>
    <row r="3028">
      <c r="A3028" s="0" t="s">
        <v>5479</v>
      </c>
      <c r="B3028" s="0" t="s">
        <v>5480</v>
      </c>
      <c r="C3028" s="5">
        <f>=HYPERLINK("https://nusmods.com/modules/PR2288#timetable","Timetable")</f>
      </c>
      <c r="D3028" s="5"/>
      <c r="E3028" s="5"/>
      <c r="F3028" s="0" t="s">
        <v>266</v>
      </c>
      <c r="G3028" s="0" t="s">
        <v>5199</v>
      </c>
      <c r="H3028" s="3">
        <v>7</v>
      </c>
    </row>
    <row r="3029">
      <c r="A3029" s="0" t="s">
        <v>5481</v>
      </c>
      <c r="B3029" s="0" t="s">
        <v>5482</v>
      </c>
      <c r="C3029" s="5">
        <f>=HYPERLINK("https://nusmods.com/modules/PR2289#timetable","Timetable")</f>
      </c>
      <c r="D3029" s="5"/>
      <c r="E3029" s="5"/>
      <c r="F3029" s="0" t="s">
        <v>266</v>
      </c>
      <c r="G3029" s="0" t="s">
        <v>5199</v>
      </c>
      <c r="H3029" s="3">
        <v>2</v>
      </c>
    </row>
    <row r="3030">
      <c r="A3030" s="0" t="s">
        <v>5483</v>
      </c>
      <c r="B3030" s="0" t="s">
        <v>5484</v>
      </c>
      <c r="C3030" s="5">
        <f>=HYPERLINK("https://nusmods.com/modules/PR3136#timetable","Timetable")</f>
      </c>
      <c r="D3030" s="5"/>
      <c r="E3030" s="5">
        <f>=HYPERLINK("https://luminus.nus.edu.sg/modules/1cb87336-47fc-4631-9f2a-4c49f3838cab","LumiNUS course site")</f>
      </c>
      <c r="F3030" s="0" t="s">
        <v>266</v>
      </c>
      <c r="G3030" s="0" t="s">
        <v>5199</v>
      </c>
      <c r="H3030" s="3">
        <v>1</v>
      </c>
    </row>
    <row r="3031">
      <c r="A3031" s="0" t="s">
        <v>5485</v>
      </c>
      <c r="B3031" s="0" t="s">
        <v>5486</v>
      </c>
      <c r="C3031" s="5">
        <f>=HYPERLINK("https://nusmods.com/modules/PR3137#timetable","Timetable")</f>
      </c>
      <c r="D3031" s="5"/>
      <c r="E3031" s="5">
        <f>=HYPERLINK("https://luminus.nus.edu.sg/modules/0264cbd7-0ba5-4d07-a0d0-e6e57286075b","LumiNUS course site")</f>
      </c>
      <c r="F3031" s="0" t="s">
        <v>266</v>
      </c>
      <c r="G3031" s="0" t="s">
        <v>5199</v>
      </c>
      <c r="H3031" s="3">
        <v>1</v>
      </c>
    </row>
    <row r="3032">
      <c r="A3032" s="0" t="s">
        <v>5487</v>
      </c>
      <c r="B3032" s="0" t="s">
        <v>5488</v>
      </c>
      <c r="C3032" s="5">
        <f>=HYPERLINK("https://nusmods.com/modules/PR3150#timetable","Timetable")</f>
      </c>
      <c r="D3032" s="5">
        <f>=HYPERLINK("https://canvas.nus.edu.sg/courses/24220","Canvas course site")</f>
      </c>
      <c r="E3032" s="5">
        <f>=HYPERLINK("https://luminus.nus.edu.sg/modules/6e9ad7a2-d41b-456f-bd6f-f4fc1578588b","LumiNUS course site")</f>
      </c>
      <c r="F3032" s="0" t="s">
        <v>266</v>
      </c>
      <c r="G3032" s="0" t="s">
        <v>5199</v>
      </c>
      <c r="H3032" s="3">
        <v>145</v>
      </c>
    </row>
    <row r="3033">
      <c r="A3033" s="0" t="s">
        <v>5489</v>
      </c>
      <c r="B3033" s="0" t="s">
        <v>5490</v>
      </c>
      <c r="C3033" s="5">
        <f>=HYPERLINK("https://nusmods.com/modules/PR3151#timetable","Timetable")</f>
      </c>
      <c r="D3033" s="5">
        <f>=HYPERLINK("https://canvas.nus.edu.sg/courses/24226","Canvas course site")</f>
      </c>
      <c r="E3033" s="5"/>
      <c r="F3033" s="0" t="s">
        <v>266</v>
      </c>
      <c r="G3033" s="0" t="s">
        <v>5199</v>
      </c>
      <c r="H3033" s="3">
        <v>145</v>
      </c>
    </row>
    <row r="3034">
      <c r="A3034" s="0" t="s">
        <v>5491</v>
      </c>
      <c r="B3034" s="0" t="s">
        <v>5492</v>
      </c>
      <c r="C3034" s="5">
        <f>=HYPERLINK("https://nusmods.com/modules/PR3152#timetable","Timetable")</f>
      </c>
      <c r="D3034" s="5">
        <f>=HYPERLINK("https://canvas.nus.edu.sg/courses/24231","Canvas course site")</f>
      </c>
      <c r="E3034" s="5">
        <f>=HYPERLINK("https://luminus.nus.edu.sg/modules/02015a4c-49f3-4606-b13c-f17a29103d2c","LumiNUS course site")</f>
      </c>
      <c r="F3034" s="0" t="s">
        <v>266</v>
      </c>
      <c r="G3034" s="0" t="s">
        <v>5199</v>
      </c>
      <c r="H3034" s="3">
        <v>145</v>
      </c>
    </row>
    <row r="3035">
      <c r="A3035" s="0" t="s">
        <v>5493</v>
      </c>
      <c r="B3035" s="0" t="s">
        <v>5494</v>
      </c>
      <c r="C3035" s="5">
        <f>=HYPERLINK("https://nusmods.com/modules/PR3202#timetable","Timetable")</f>
      </c>
      <c r="D3035" s="5"/>
      <c r="E3035" s="5">
        <f>=HYPERLINK("https://luminus.nus.edu.sg/modules/ba722ea9-2c90-4811-b1a3-d702b9bc7326","LumiNUS course site")</f>
      </c>
      <c r="F3035" s="0" t="s">
        <v>266</v>
      </c>
      <c r="G3035" s="0" t="s">
        <v>5199</v>
      </c>
      <c r="H3035" s="3">
        <v>18</v>
      </c>
    </row>
    <row r="3036">
      <c r="A3036" s="0" t="s">
        <v>5495</v>
      </c>
      <c r="B3036" s="0" t="s">
        <v>5496</v>
      </c>
      <c r="C3036" s="5">
        <f>=HYPERLINK("https://nusmods.com/modules/PR3288#timetable","Timetable")</f>
      </c>
      <c r="D3036" s="5"/>
      <c r="E3036" s="5"/>
      <c r="F3036" s="0" t="s">
        <v>266</v>
      </c>
      <c r="G3036" s="0" t="s">
        <v>5199</v>
      </c>
      <c r="H3036" s="3">
        <v>4</v>
      </c>
    </row>
    <row r="3037">
      <c r="A3037" s="0" t="s">
        <v>5497</v>
      </c>
      <c r="B3037" s="0" t="s">
        <v>5498</v>
      </c>
      <c r="C3037" s="5">
        <f>=HYPERLINK("https://nusmods.com/modules/PR3289#timetable","Timetable")</f>
      </c>
      <c r="D3037" s="5"/>
      <c r="E3037" s="5"/>
      <c r="F3037" s="0" t="s">
        <v>266</v>
      </c>
      <c r="G3037" s="0" t="s">
        <v>5199</v>
      </c>
      <c r="H3037" s="3">
        <v>3</v>
      </c>
    </row>
    <row r="3038">
      <c r="A3038" s="0" t="s">
        <v>5499</v>
      </c>
      <c r="B3038" s="0" t="s">
        <v>5500</v>
      </c>
      <c r="C3038" s="5">
        <f>=HYPERLINK("https://nusmods.com/modules/PR3313#timetable","Timetable")</f>
      </c>
      <c r="D3038" s="5"/>
      <c r="E3038" s="5"/>
      <c r="F3038" s="0" t="s">
        <v>266</v>
      </c>
      <c r="G3038" s="0" t="s">
        <v>5199</v>
      </c>
      <c r="H3038" s="3">
        <v>0</v>
      </c>
    </row>
    <row r="3039">
      <c r="A3039" s="0" t="s">
        <v>5501</v>
      </c>
      <c r="B3039" s="0" t="s">
        <v>5502</v>
      </c>
      <c r="C3039" s="5">
        <f>=HYPERLINK("https://nusmods.com/modules/PR4138#timetable","Timetable")</f>
      </c>
      <c r="D3039" s="5"/>
      <c r="E3039" s="5">
        <f>=HYPERLINK("https://luminus.nus.edu.sg/modules/9d51ad51-174c-44e6-99d4-67b8a6c2930f","LumiNUS course site")</f>
      </c>
      <c r="F3039" s="0" t="s">
        <v>266</v>
      </c>
      <c r="G3039" s="0" t="s">
        <v>5199</v>
      </c>
      <c r="H3039" s="3">
        <v>143</v>
      </c>
    </row>
    <row r="3040">
      <c r="A3040" s="0" t="s">
        <v>5503</v>
      </c>
      <c r="B3040" s="0" t="s">
        <v>5504</v>
      </c>
      <c r="C3040" s="5">
        <f>=HYPERLINK("https://nusmods.com/modules/PR4191#timetable","Timetable")</f>
      </c>
      <c r="D3040" s="5">
        <f>=HYPERLINK("https://canvas.nus.edu.sg/courses/24260","Canvas course site")</f>
      </c>
      <c r="E3040" s="5"/>
      <c r="F3040" s="0" t="s">
        <v>266</v>
      </c>
      <c r="G3040" s="0" t="s">
        <v>5199</v>
      </c>
      <c r="H3040" s="3">
        <v>145</v>
      </c>
    </row>
    <row r="3041">
      <c r="A3041" s="0" t="s">
        <v>5505</v>
      </c>
      <c r="B3041" s="0" t="s">
        <v>5506</v>
      </c>
      <c r="C3041" s="5">
        <f>=HYPERLINK("https://nusmods.com/modules/PR4195#timetable","Timetable")</f>
      </c>
      <c r="D3041" s="5"/>
      <c r="E3041" s="5">
        <f>=HYPERLINK("https://luminus.nus.edu.sg/modules/631d9719-8b03-45c2-98ef-d1e6475e2466","LumiNUS course site")</f>
      </c>
      <c r="F3041" s="0" t="s">
        <v>266</v>
      </c>
      <c r="G3041" s="0" t="s">
        <v>5199</v>
      </c>
      <c r="H3041" s="3">
        <v>21</v>
      </c>
    </row>
    <row r="3042">
      <c r="A3042" s="0" t="s">
        <v>5507</v>
      </c>
      <c r="B3042" s="0" t="s">
        <v>5508</v>
      </c>
      <c r="C3042" s="5">
        <f>=HYPERLINK("https://nusmods.com/modules/PR4196#timetable","Timetable")</f>
      </c>
      <c r="D3042" s="5"/>
      <c r="E3042" s="5">
        <f>=HYPERLINK("https://luminus.nus.edu.sg/modules/7a33d581-7d82-480a-8974-6474d3c32353","LumiNUS course site")</f>
      </c>
      <c r="F3042" s="0" t="s">
        <v>266</v>
      </c>
      <c r="G3042" s="0" t="s">
        <v>5199</v>
      </c>
      <c r="H3042" s="3">
        <v>52</v>
      </c>
    </row>
    <row r="3043">
      <c r="A3043" s="0" t="s">
        <v>5509</v>
      </c>
      <c r="B3043" s="0" t="s">
        <v>5510</v>
      </c>
      <c r="C3043" s="5">
        <f>=HYPERLINK("https://nusmods.com/modules/PR4197#timetable","Timetable")</f>
      </c>
      <c r="D3043" s="5"/>
      <c r="E3043" s="5"/>
      <c r="F3043" s="0" t="s">
        <v>266</v>
      </c>
      <c r="G3043" s="0" t="s">
        <v>5199</v>
      </c>
      <c r="H3043" s="3">
        <v>0</v>
      </c>
    </row>
    <row r="3044">
      <c r="A3044" s="0" t="s">
        <v>5511</v>
      </c>
      <c r="B3044" s="0" t="s">
        <v>5510</v>
      </c>
      <c r="C3044" s="5">
        <f>=HYPERLINK("https://nusmods.com/modules/PR4197A#timetable","Timetable")</f>
      </c>
      <c r="D3044" s="5"/>
      <c r="E3044" s="5"/>
      <c r="F3044" s="0" t="s">
        <v>266</v>
      </c>
      <c r="G3044" s="0" t="s">
        <v>5199</v>
      </c>
      <c r="H3044" s="3">
        <v>73</v>
      </c>
    </row>
    <row r="3045">
      <c r="A3045" s="0" t="s">
        <v>5512</v>
      </c>
      <c r="B3045" s="0" t="s">
        <v>5513</v>
      </c>
      <c r="C3045" s="5">
        <f>=HYPERLINK("https://nusmods.com/modules/PR4198#timetable","Timetable")</f>
      </c>
      <c r="D3045" s="5"/>
      <c r="E3045" s="5"/>
      <c r="F3045" s="0" t="s">
        <v>266</v>
      </c>
      <c r="G3045" s="0" t="s">
        <v>5199</v>
      </c>
      <c r="H3045" s="3">
        <v>0</v>
      </c>
    </row>
    <row r="3046">
      <c r="A3046" s="0" t="s">
        <v>5514</v>
      </c>
      <c r="B3046" s="0" t="s">
        <v>5513</v>
      </c>
      <c r="C3046" s="5">
        <f>=HYPERLINK("https://nusmods.com/modules/PR4198A#timetable","Timetable")</f>
      </c>
      <c r="D3046" s="5"/>
      <c r="E3046" s="5"/>
      <c r="F3046" s="0" t="s">
        <v>266</v>
      </c>
      <c r="G3046" s="0" t="s">
        <v>5199</v>
      </c>
      <c r="H3046" s="3">
        <v>73</v>
      </c>
    </row>
    <row r="3047">
      <c r="A3047" s="0" t="s">
        <v>5515</v>
      </c>
      <c r="B3047" s="0" t="s">
        <v>5516</v>
      </c>
      <c r="C3047" s="5">
        <f>=HYPERLINK("https://nusmods.com/modules/PR4204#timetable","Timetable")</f>
      </c>
      <c r="D3047" s="5">
        <f>=HYPERLINK("https://canvas.nus.edu.sg/courses/24287","Canvas course site")</f>
      </c>
      <c r="E3047" s="5">
        <f>=HYPERLINK("https://luminus.nus.edu.sg/modules/c9f6021e-7ccb-4de1-b741-96794e4b3308","LumiNUS course site")</f>
      </c>
      <c r="F3047" s="0" t="s">
        <v>266</v>
      </c>
      <c r="G3047" s="0" t="s">
        <v>5199</v>
      </c>
      <c r="H3047" s="3">
        <v>26</v>
      </c>
    </row>
    <row r="3048">
      <c r="A3048" s="0" t="s">
        <v>5517</v>
      </c>
      <c r="B3048" s="0" t="s">
        <v>5518</v>
      </c>
      <c r="C3048" s="5">
        <f>=HYPERLINK("https://nusmods.com/modules/PR5131#timetable","Timetable")</f>
      </c>
      <c r="D3048" s="5">
        <f>=HYPERLINK("https://canvas.nus.edu.sg/courses/24293","Canvas course site")</f>
      </c>
      <c r="E3048" s="5"/>
      <c r="F3048" s="0" t="s">
        <v>266</v>
      </c>
      <c r="G3048" s="0" t="s">
        <v>5199</v>
      </c>
      <c r="H3048" s="3">
        <v>8</v>
      </c>
    </row>
    <row r="3049">
      <c r="A3049" s="0" t="s">
        <v>5519</v>
      </c>
      <c r="B3049" s="0" t="s">
        <v>5520</v>
      </c>
      <c r="C3049" s="5">
        <f>=HYPERLINK("https://nusmods.com/modules/PR5132#timetable","Timetable")</f>
      </c>
      <c r="D3049" s="5">
        <f>=HYPERLINK("https://canvas.nus.edu.sg/courses/24298","Canvas course site")</f>
      </c>
      <c r="E3049" s="5"/>
      <c r="F3049" s="0" t="s">
        <v>266</v>
      </c>
      <c r="G3049" s="0" t="s">
        <v>5199</v>
      </c>
      <c r="H3049" s="3">
        <v>8</v>
      </c>
    </row>
    <row r="3050">
      <c r="A3050" s="0" t="s">
        <v>5521</v>
      </c>
      <c r="B3050" s="0" t="s">
        <v>5522</v>
      </c>
      <c r="C3050" s="5">
        <f>=HYPERLINK("https://nusmods.com/modules/PR5133#timetable","Timetable")</f>
      </c>
      <c r="D3050" s="5">
        <f>=HYPERLINK("https://canvas.nus.edu.sg/courses/24302","Canvas course site")</f>
      </c>
      <c r="E3050" s="5"/>
      <c r="F3050" s="0" t="s">
        <v>266</v>
      </c>
      <c r="G3050" s="0" t="s">
        <v>5199</v>
      </c>
      <c r="H3050" s="3">
        <v>7</v>
      </c>
    </row>
    <row r="3051">
      <c r="A3051" s="0" t="s">
        <v>5523</v>
      </c>
      <c r="B3051" s="0" t="s">
        <v>5524</v>
      </c>
      <c r="C3051" s="5">
        <f>=HYPERLINK("https://nusmods.com/modules/PR5134#timetable","Timetable")</f>
      </c>
      <c r="D3051" s="5">
        <f>=HYPERLINK("https://canvas.nus.edu.sg/courses/24307","Canvas course site")</f>
      </c>
      <c r="E3051" s="5">
        <f>=HYPERLINK("https://luminus.nus.edu.sg/modules/a5722b28-53f5-4335-aded-a2e522cd57cb","LumiNUS course site")</f>
      </c>
      <c r="F3051" s="0" t="s">
        <v>266</v>
      </c>
      <c r="G3051" s="0" t="s">
        <v>5199</v>
      </c>
      <c r="H3051" s="3">
        <v>18</v>
      </c>
    </row>
    <row r="3052">
      <c r="A3052" s="0" t="s">
        <v>5525</v>
      </c>
      <c r="B3052" s="0" t="s">
        <v>5526</v>
      </c>
      <c r="C3052" s="5">
        <f>=HYPERLINK("https://nusmods.com/modules/PR5135#timetable","Timetable")</f>
      </c>
      <c r="D3052" s="5">
        <f>=HYPERLINK("https://canvas.nus.edu.sg/courses/24312","Canvas course site")</f>
      </c>
      <c r="E3052" s="5"/>
      <c r="F3052" s="0" t="s">
        <v>266</v>
      </c>
      <c r="G3052" s="0" t="s">
        <v>5199</v>
      </c>
      <c r="H3052" s="3">
        <v>13</v>
      </c>
    </row>
    <row r="3053">
      <c r="A3053" s="0" t="s">
        <v>5527</v>
      </c>
      <c r="B3053" s="0" t="s">
        <v>5528</v>
      </c>
      <c r="C3053" s="5">
        <f>=HYPERLINK("https://nusmods.com/modules/PR5136#timetable","Timetable")</f>
      </c>
      <c r="D3053" s="5">
        <f>=HYPERLINK("https://canvas.nus.edu.sg/courses/24317","Canvas course site")</f>
      </c>
      <c r="E3053" s="5"/>
      <c r="F3053" s="0" t="s">
        <v>266</v>
      </c>
      <c r="G3053" s="0" t="s">
        <v>5199</v>
      </c>
      <c r="H3053" s="3">
        <v>7</v>
      </c>
    </row>
    <row r="3054">
      <c r="A3054" s="0" t="s">
        <v>5529</v>
      </c>
      <c r="B3054" s="0" t="s">
        <v>5530</v>
      </c>
      <c r="C3054" s="5">
        <f>=HYPERLINK("https://nusmods.com/modules/PR5150#timetable","Timetable")</f>
      </c>
      <c r="D3054" s="5"/>
      <c r="E3054" s="5"/>
      <c r="F3054" s="0" t="s">
        <v>266</v>
      </c>
      <c r="G3054" s="0" t="s">
        <v>5199</v>
      </c>
      <c r="H3054" s="3">
        <v>6</v>
      </c>
    </row>
    <row r="3055">
      <c r="A3055" s="0" t="s">
        <v>5531</v>
      </c>
      <c r="B3055" s="0" t="s">
        <v>5532</v>
      </c>
      <c r="C3055" s="5">
        <f>=HYPERLINK("https://nusmods.com/modules/PR5151#timetable","Timetable")</f>
      </c>
      <c r="D3055" s="5"/>
      <c r="E3055" s="5"/>
      <c r="F3055" s="0" t="s">
        <v>266</v>
      </c>
      <c r="G3055" s="0" t="s">
        <v>5199</v>
      </c>
      <c r="H3055" s="3">
        <v>6</v>
      </c>
    </row>
    <row r="3056">
      <c r="A3056" s="0" t="s">
        <v>5533</v>
      </c>
      <c r="B3056" s="0" t="s">
        <v>5534</v>
      </c>
      <c r="C3056" s="5">
        <f>=HYPERLINK("https://nusmods.com/modules/PR5152#timetable","Timetable")</f>
      </c>
      <c r="D3056" s="5"/>
      <c r="E3056" s="5"/>
      <c r="F3056" s="0" t="s">
        <v>266</v>
      </c>
      <c r="G3056" s="0" t="s">
        <v>5199</v>
      </c>
      <c r="H3056" s="3">
        <v>6</v>
      </c>
    </row>
    <row r="3057">
      <c r="A3057" s="0" t="s">
        <v>5535</v>
      </c>
      <c r="B3057" s="0" t="s">
        <v>5536</v>
      </c>
      <c r="C3057" s="5">
        <f>=HYPERLINK("https://nusmods.com/modules/PR5153#timetable","Timetable")</f>
      </c>
      <c r="D3057" s="5"/>
      <c r="E3057" s="5"/>
      <c r="F3057" s="0" t="s">
        <v>266</v>
      </c>
      <c r="G3057" s="0" t="s">
        <v>5199</v>
      </c>
      <c r="H3057" s="3">
        <v>0</v>
      </c>
    </row>
    <row r="3058">
      <c r="A3058" s="0" t="s">
        <v>5537</v>
      </c>
      <c r="B3058" s="0" t="s">
        <v>5538</v>
      </c>
      <c r="C3058" s="5">
        <f>=HYPERLINK("https://nusmods.com/modules/PR5154#timetable","Timetable")</f>
      </c>
      <c r="D3058" s="5"/>
      <c r="E3058" s="5"/>
      <c r="F3058" s="0" t="s">
        <v>266</v>
      </c>
      <c r="G3058" s="0" t="s">
        <v>5199</v>
      </c>
      <c r="H3058" s="3">
        <v>6</v>
      </c>
    </row>
    <row r="3059">
      <c r="A3059" s="0" t="s">
        <v>5539</v>
      </c>
      <c r="B3059" s="0" t="s">
        <v>5540</v>
      </c>
      <c r="C3059" s="5">
        <f>=HYPERLINK("https://nusmods.com/modules/PR5211#timetable","Timetable")</f>
      </c>
      <c r="D3059" s="5"/>
      <c r="E3059" s="5">
        <f>=HYPERLINK("https://luminus.nus.edu.sg/modules/4c5de180-73f0-44bd-8a21-49e5ce925741","LumiNUS course site")</f>
      </c>
      <c r="F3059" s="0" t="s">
        <v>266</v>
      </c>
      <c r="G3059" s="0" t="s">
        <v>5199</v>
      </c>
      <c r="H3059" s="3">
        <v>46</v>
      </c>
    </row>
    <row r="3060">
      <c r="A3060" s="0" t="s">
        <v>5541</v>
      </c>
      <c r="B3060" s="0" t="s">
        <v>5542</v>
      </c>
      <c r="C3060" s="5">
        <f>=HYPERLINK("https://nusmods.com/modules/PR5214#timetable","Timetable")</f>
      </c>
      <c r="D3060" s="5">
        <f>=HYPERLINK("https://canvas.nus.edu.sg/courses/24349","Canvas course site")</f>
      </c>
      <c r="E3060" s="5"/>
      <c r="F3060" s="0" t="s">
        <v>266</v>
      </c>
      <c r="G3060" s="0" t="s">
        <v>5199</v>
      </c>
      <c r="H3060" s="3">
        <v>18</v>
      </c>
    </row>
    <row r="3061">
      <c r="A3061" s="0" t="s">
        <v>5543</v>
      </c>
      <c r="B3061" s="0" t="s">
        <v>5544</v>
      </c>
      <c r="C3061" s="5">
        <f>=HYPERLINK("https://nusmods.com/modules/PR5217#timetable","Timetable")</f>
      </c>
      <c r="D3061" s="5"/>
      <c r="E3061" s="5">
        <f>=HYPERLINK("https://luminus.nus.edu.sg/modules/8b4308b6-c1cb-4edb-be07-ebda3c1dae0a","LumiNUS course site")</f>
      </c>
      <c r="F3061" s="0" t="s">
        <v>266</v>
      </c>
      <c r="G3061" s="0" t="s">
        <v>5199</v>
      </c>
      <c r="H3061" s="3">
        <v>43</v>
      </c>
    </row>
    <row r="3062">
      <c r="A3062" s="0" t="s">
        <v>5545</v>
      </c>
      <c r="B3062" s="0" t="s">
        <v>5546</v>
      </c>
      <c r="C3062" s="5">
        <f>=HYPERLINK("https://nusmods.com/modules/PR5220#timetable","Timetable")</f>
      </c>
      <c r="D3062" s="5"/>
      <c r="E3062" s="5">
        <f>=HYPERLINK("https://luminus.nus.edu.sg/modules/2a3a7b0a-dcd7-408d-a587-3234466136dc","LumiNUS course site")</f>
      </c>
      <c r="F3062" s="0" t="s">
        <v>266</v>
      </c>
      <c r="G3062" s="0" t="s">
        <v>5199</v>
      </c>
      <c r="H3062" s="3">
        <v>38</v>
      </c>
    </row>
    <row r="3063">
      <c r="A3063" s="0" t="s">
        <v>5547</v>
      </c>
      <c r="B3063" s="0" t="s">
        <v>5548</v>
      </c>
      <c r="C3063" s="5">
        <f>=HYPERLINK("https://nusmods.com/modules/PR5224#timetable","Timetable")</f>
      </c>
      <c r="D3063" s="5"/>
      <c r="E3063" s="5">
        <f>=HYPERLINK("https://luminus.nus.edu.sg/modules/c179aa8c-1b90-4ecb-956c-21d5d7ef7303","LumiNUS course site")</f>
      </c>
      <c r="F3063" s="0" t="s">
        <v>266</v>
      </c>
      <c r="G3063" s="0" t="s">
        <v>5199</v>
      </c>
      <c r="H3063" s="3">
        <v>26</v>
      </c>
    </row>
    <row r="3064">
      <c r="A3064" s="0" t="s">
        <v>5549</v>
      </c>
      <c r="B3064" s="0" t="s">
        <v>5550</v>
      </c>
      <c r="C3064" s="5">
        <f>=HYPERLINK("https://nusmods.com/modules/PR5239#timetable","Timetable")</f>
      </c>
      <c r="D3064" s="5"/>
      <c r="E3064" s="5"/>
      <c r="F3064" s="0" t="s">
        <v>266</v>
      </c>
      <c r="G3064" s="0" t="s">
        <v>5199</v>
      </c>
      <c r="H3064" s="3">
        <v>7</v>
      </c>
    </row>
    <row r="3065">
      <c r="A3065" s="0" t="s">
        <v>5551</v>
      </c>
      <c r="B3065" s="0" t="s">
        <v>5552</v>
      </c>
      <c r="C3065" s="5">
        <f>=HYPERLINK("https://nusmods.com/modules/PR5250#timetable","Timetable")</f>
      </c>
      <c r="D3065" s="5"/>
      <c r="E3065" s="5"/>
      <c r="F3065" s="0" t="s">
        <v>266</v>
      </c>
      <c r="G3065" s="0" t="s">
        <v>5199</v>
      </c>
      <c r="H3065" s="3">
        <v>6</v>
      </c>
    </row>
    <row r="3066">
      <c r="A3066" s="0" t="s">
        <v>5553</v>
      </c>
      <c r="B3066" s="0" t="s">
        <v>5554</v>
      </c>
      <c r="C3066" s="5">
        <f>=HYPERLINK("https://nusmods.com/modules/PR5251#timetable","Timetable")</f>
      </c>
      <c r="D3066" s="5"/>
      <c r="E3066" s="5"/>
      <c r="F3066" s="0" t="s">
        <v>266</v>
      </c>
      <c r="G3066" s="0" t="s">
        <v>5199</v>
      </c>
      <c r="H3066" s="3">
        <v>6</v>
      </c>
    </row>
    <row r="3067">
      <c r="A3067" s="0" t="s">
        <v>5555</v>
      </c>
      <c r="B3067" s="0" t="s">
        <v>5556</v>
      </c>
      <c r="C3067" s="5">
        <f>=HYPERLINK("https://nusmods.com/modules/PR5252#timetable","Timetable")</f>
      </c>
      <c r="D3067" s="5"/>
      <c r="E3067" s="5"/>
      <c r="F3067" s="0" t="s">
        <v>266</v>
      </c>
      <c r="G3067" s="0" t="s">
        <v>5199</v>
      </c>
      <c r="H3067" s="3">
        <v>6</v>
      </c>
    </row>
    <row r="3068">
      <c r="A3068" s="0" t="s">
        <v>5557</v>
      </c>
      <c r="B3068" s="0" t="s">
        <v>5558</v>
      </c>
      <c r="C3068" s="5">
        <f>=HYPERLINK("https://nusmods.com/modules/PR5253#timetable","Timetable")</f>
      </c>
      <c r="D3068" s="5"/>
      <c r="E3068" s="5"/>
      <c r="F3068" s="0" t="s">
        <v>266</v>
      </c>
      <c r="G3068" s="0" t="s">
        <v>5199</v>
      </c>
      <c r="H3068" s="3">
        <v>6</v>
      </c>
    </row>
    <row r="3069">
      <c r="A3069" s="0" t="s">
        <v>5559</v>
      </c>
      <c r="B3069" s="0" t="s">
        <v>5560</v>
      </c>
      <c r="C3069" s="5">
        <f>=HYPERLINK("https://nusmods.com/modules/PR5299#timetable","Timetable")</f>
      </c>
      <c r="D3069" s="5">
        <f>=HYPERLINK("https://canvas.nus.edu.sg/courses/24395","Canvas course site")</f>
      </c>
      <c r="E3069" s="5"/>
      <c r="F3069" s="0" t="s">
        <v>266</v>
      </c>
      <c r="G3069" s="0" t="s">
        <v>5199</v>
      </c>
      <c r="H3069" s="3">
        <v>5</v>
      </c>
    </row>
    <row r="3070">
      <c r="A3070" s="0" t="s">
        <v>5561</v>
      </c>
      <c r="B3070" s="0" t="s">
        <v>5562</v>
      </c>
      <c r="C3070" s="5">
        <f>=HYPERLINK("https://nusmods.com/modules/PS1101E#timetable","Timetable")</f>
      </c>
      <c r="D3070" s="5"/>
      <c r="E3070" s="5">
        <f>=HYPERLINK("https://luminus.nus.edu.sg/modules/ac79b4d4-a7b4-4f08-b96e-e3cb6b3650be","LumiNUS course site")</f>
      </c>
      <c r="F3070" s="0" t="s">
        <v>73</v>
      </c>
      <c r="G3070" s="0" t="s">
        <v>2554</v>
      </c>
      <c r="H3070" s="3">
        <v>148</v>
      </c>
    </row>
    <row r="3071">
      <c r="A3071" s="0" t="s">
        <v>5563</v>
      </c>
      <c r="B3071" s="0" t="s">
        <v>5564</v>
      </c>
      <c r="C3071" s="5">
        <f>=HYPERLINK("https://nusmods.com/modules/PS2234#timetable","Timetable")</f>
      </c>
      <c r="D3071" s="5"/>
      <c r="E3071" s="5">
        <f>=HYPERLINK("https://luminus.nus.edu.sg/modules/615a8f71-c23f-4396-960d-71a223145712","LumiNUS course site")</f>
      </c>
      <c r="F3071" s="0" t="s">
        <v>73</v>
      </c>
      <c r="G3071" s="0" t="s">
        <v>2554</v>
      </c>
      <c r="H3071" s="3">
        <v>61</v>
      </c>
    </row>
    <row r="3072">
      <c r="A3072" s="0" t="s">
        <v>5565</v>
      </c>
      <c r="B3072" s="0" t="s">
        <v>5566</v>
      </c>
      <c r="C3072" s="5">
        <f>=HYPERLINK("https://nusmods.com/modules/PS2237#timetable","Timetable")</f>
      </c>
      <c r="D3072" s="5">
        <f>=HYPERLINK("https://canvas.nus.edu.sg/courses/24406","Canvas course site")</f>
      </c>
      <c r="E3072" s="5">
        <f>=HYPERLINK("https://luminus.nus.edu.sg/modules/36b46f9e-5002-420b-865f-27bb327ee8f7","LumiNUS course site")</f>
      </c>
      <c r="F3072" s="0" t="s">
        <v>73</v>
      </c>
      <c r="G3072" s="0" t="s">
        <v>2554</v>
      </c>
      <c r="H3072" s="3">
        <v>46</v>
      </c>
    </row>
    <row r="3073">
      <c r="A3073" s="0" t="s">
        <v>5567</v>
      </c>
      <c r="B3073" s="0" t="s">
        <v>5568</v>
      </c>
      <c r="C3073" s="5">
        <f>=HYPERLINK("https://nusmods.com/modules/PS2240#timetable","Timetable")</f>
      </c>
      <c r="D3073" s="5"/>
      <c r="E3073" s="5">
        <f>=HYPERLINK("https://luminus.nus.edu.sg/modules/d7d7047d-299c-4fcb-b9e1-aea0beae1eb8","LumiNUS course site")</f>
      </c>
      <c r="F3073" s="0" t="s">
        <v>73</v>
      </c>
      <c r="G3073" s="0" t="s">
        <v>2554</v>
      </c>
      <c r="H3073" s="3">
        <v>47</v>
      </c>
    </row>
    <row r="3074">
      <c r="A3074" s="0" t="s">
        <v>5569</v>
      </c>
      <c r="B3074" s="0" t="s">
        <v>5570</v>
      </c>
      <c r="C3074" s="5">
        <f>=HYPERLINK("https://nusmods.com/modules/PS2249#timetable","Timetable")</f>
      </c>
      <c r="D3074" s="5">
        <f>=HYPERLINK("https://canvas.nus.edu.sg/courses/22349","Canvas course site")</f>
      </c>
      <c r="E3074" s="5">
        <f>=HYPERLINK("https://luminus.nus.edu.sg/modules/7d665eaa-b4b8-4d72-99ef-105fef30585b","LumiNUS course site")</f>
      </c>
      <c r="F3074" s="0" t="s">
        <v>73</v>
      </c>
      <c r="G3074" s="0" t="s">
        <v>2554</v>
      </c>
      <c r="H3074" s="3">
        <v>97</v>
      </c>
    </row>
    <row r="3075">
      <c r="A3075" s="0" t="s">
        <v>5571</v>
      </c>
      <c r="B3075" s="0" t="s">
        <v>5572</v>
      </c>
      <c r="C3075" s="5">
        <f>=HYPERLINK("https://nusmods.com/modules/PS2255#timetable","Timetable")</f>
      </c>
      <c r="D3075" s="5"/>
      <c r="E3075" s="5">
        <f>=HYPERLINK("https://luminus.nus.edu.sg/modules/124444cb-faf9-4aaf-b25b-eb345059709e","LumiNUS course site")</f>
      </c>
      <c r="F3075" s="0" t="s">
        <v>73</v>
      </c>
      <c r="G3075" s="0" t="s">
        <v>2554</v>
      </c>
      <c r="H3075" s="3">
        <v>92</v>
      </c>
    </row>
    <row r="3076">
      <c r="A3076" s="0" t="s">
        <v>5573</v>
      </c>
      <c r="B3076" s="0" t="s">
        <v>5574</v>
      </c>
      <c r="C3076" s="5">
        <f>=HYPERLINK("https://nusmods.com/modules/PS2257#timetable","Timetable")</f>
      </c>
      <c r="D3076" s="5"/>
      <c r="E3076" s="5">
        <f>=HYPERLINK("https://luminus.nus.edu.sg/modules/9351c4ed-ecf7-42c5-8a5c-9a654acc3bd1","LumiNUS course site")</f>
      </c>
      <c r="F3076" s="0" t="s">
        <v>73</v>
      </c>
      <c r="G3076" s="0" t="s">
        <v>2554</v>
      </c>
      <c r="H3076" s="3">
        <v>40</v>
      </c>
    </row>
    <row r="3077">
      <c r="A3077" s="0" t="s">
        <v>5575</v>
      </c>
      <c r="B3077" s="0" t="s">
        <v>5576</v>
      </c>
      <c r="C3077" s="5">
        <f>=HYPERLINK("https://nusmods.com/modules/PS2258#timetable","Timetable")</f>
      </c>
      <c r="D3077" s="5"/>
      <c r="E3077" s="5">
        <f>=HYPERLINK("https://luminus.nus.edu.sg/modules/15789337-f9bb-4feb-9816-e589c972832c","LumiNUS course site")</f>
      </c>
      <c r="F3077" s="0" t="s">
        <v>73</v>
      </c>
      <c r="G3077" s="0" t="s">
        <v>2554</v>
      </c>
      <c r="H3077" s="3">
        <v>45</v>
      </c>
    </row>
    <row r="3078">
      <c r="A3078" s="0" t="s">
        <v>5577</v>
      </c>
      <c r="B3078" s="0" t="s">
        <v>5578</v>
      </c>
      <c r="C3078" s="5">
        <f>=HYPERLINK("https://nusmods.com/modules/PS3237#timetable","Timetable")</f>
      </c>
      <c r="D3078" s="5"/>
      <c r="E3078" s="5">
        <f>=HYPERLINK("https://luminus.nus.edu.sg/modules/8e77ff53-c96d-4f4b-b353-e375bc32cef5","LumiNUS course site")</f>
      </c>
      <c r="F3078" s="0" t="s">
        <v>73</v>
      </c>
      <c r="G3078" s="0" t="s">
        <v>2554</v>
      </c>
      <c r="H3078" s="3">
        <v>98</v>
      </c>
    </row>
    <row r="3079">
      <c r="A3079" s="0" t="s">
        <v>5579</v>
      </c>
      <c r="B3079" s="0" t="s">
        <v>5580</v>
      </c>
      <c r="C3079" s="5">
        <f>=HYPERLINK("https://nusmods.com/modules/PS3257#timetable","Timetable")</f>
      </c>
      <c r="D3079" s="5">
        <f>=HYPERLINK("https://canvas.nus.edu.sg/courses/22350","Canvas course site")</f>
      </c>
      <c r="E3079" s="5">
        <f>=HYPERLINK("https://luminus.nus.edu.sg/modules/940f1acf-0bed-4189-aca4-e4d4c7588f81","LumiNUS course site")</f>
      </c>
      <c r="F3079" s="0" t="s">
        <v>73</v>
      </c>
      <c r="G3079" s="0" t="s">
        <v>2554</v>
      </c>
      <c r="H3079" s="3">
        <v>93</v>
      </c>
    </row>
    <row r="3080">
      <c r="A3080" s="0" t="s">
        <v>5581</v>
      </c>
      <c r="B3080" s="0" t="s">
        <v>5582</v>
      </c>
      <c r="C3080" s="5">
        <f>=HYPERLINK("https://nusmods.com/modules/PS3260#timetable","Timetable")</f>
      </c>
      <c r="D3080" s="5"/>
      <c r="E3080" s="5">
        <f>=HYPERLINK("https://luminus.nus.edu.sg/modules/3926cd42-a7ea-41f1-b0db-769f9d11cfca","LumiNUS course site")</f>
      </c>
      <c r="F3080" s="0" t="s">
        <v>73</v>
      </c>
      <c r="G3080" s="0" t="s">
        <v>2554</v>
      </c>
      <c r="H3080" s="3">
        <v>81</v>
      </c>
    </row>
    <row r="3081">
      <c r="A3081" s="0" t="s">
        <v>5583</v>
      </c>
      <c r="B3081" s="0" t="s">
        <v>5584</v>
      </c>
      <c r="C3081" s="5">
        <f>=HYPERLINK("https://nusmods.com/modules/PS3262#timetable","Timetable")</f>
      </c>
      <c r="D3081" s="5">
        <f>=HYPERLINK("https://canvas.nus.edu.sg/courses/24432","Canvas course site")</f>
      </c>
      <c r="E3081" s="5">
        <f>=HYPERLINK("https://luminus.nus.edu.sg/modules/c65b92c3-1c88-434e-ad44-5883a6e0e5db","LumiNUS course site")</f>
      </c>
      <c r="F3081" s="0" t="s">
        <v>73</v>
      </c>
      <c r="G3081" s="0" t="s">
        <v>2554</v>
      </c>
      <c r="H3081" s="3">
        <v>70</v>
      </c>
    </row>
    <row r="3082">
      <c r="A3082" s="0" t="s">
        <v>5585</v>
      </c>
      <c r="B3082" s="0" t="s">
        <v>5586</v>
      </c>
      <c r="C3082" s="5">
        <f>=HYPERLINK("https://nusmods.com/modules/PS3265#timetable","Timetable")</f>
      </c>
      <c r="D3082" s="5"/>
      <c r="E3082" s="5">
        <f>=HYPERLINK("https://luminus.nus.edu.sg/modules/1890d22b-13a9-483d-852d-be9645d08e1d","LumiNUS course site")</f>
      </c>
      <c r="F3082" s="0" t="s">
        <v>73</v>
      </c>
      <c r="G3082" s="0" t="s">
        <v>2554</v>
      </c>
      <c r="H3082" s="3">
        <v>54</v>
      </c>
    </row>
    <row r="3083">
      <c r="A3083" s="0" t="s">
        <v>5587</v>
      </c>
      <c r="B3083" s="0" t="s">
        <v>5588</v>
      </c>
      <c r="C3083" s="5">
        <f>=HYPERLINK("https://nusmods.com/modules/PS3276#timetable","Timetable")</f>
      </c>
      <c r="D3083" s="5">
        <f>=HYPERLINK("https://canvas.nus.edu.sg/courses/24442","Canvas course site")</f>
      </c>
      <c r="E3083" s="5">
        <f>=HYPERLINK("https://luminus.nus.edu.sg/modules/aaa97088-78e8-43a5-a506-f6df7e476950","LumiNUS course site")</f>
      </c>
      <c r="F3083" s="0" t="s">
        <v>73</v>
      </c>
      <c r="G3083" s="0" t="s">
        <v>2554</v>
      </c>
      <c r="H3083" s="3">
        <v>27</v>
      </c>
    </row>
    <row r="3084">
      <c r="A3084" s="0" t="s">
        <v>5589</v>
      </c>
      <c r="B3084" s="0" t="s">
        <v>5590</v>
      </c>
      <c r="C3084" s="5">
        <f>=HYPERLINK("https://nusmods.com/modules/PS3311#timetable","Timetable")</f>
      </c>
      <c r="D3084" s="5"/>
      <c r="E3084" s="5">
        <f>=HYPERLINK("https://luminus.nus.edu.sg/modules/aeae9c29-f864-4c6e-8e3b-0e747746406a","LumiNUS course site")</f>
      </c>
      <c r="F3084" s="0" t="s">
        <v>73</v>
      </c>
      <c r="G3084" s="0" t="s">
        <v>2554</v>
      </c>
      <c r="H3084" s="3">
        <v>47</v>
      </c>
    </row>
    <row r="3085">
      <c r="A3085" s="0" t="s">
        <v>5591</v>
      </c>
      <c r="B3085" s="0" t="s">
        <v>5592</v>
      </c>
      <c r="C3085" s="5">
        <f>=HYPERLINK("https://nusmods.com/modules/PS3550#timetable","Timetable")</f>
      </c>
      <c r="D3085" s="5"/>
      <c r="E3085" s="5"/>
      <c r="F3085" s="0" t="s">
        <v>73</v>
      </c>
      <c r="G3085" s="0" t="s">
        <v>2554</v>
      </c>
      <c r="H3085" s="3">
        <v>1</v>
      </c>
    </row>
    <row r="3086">
      <c r="A3086" s="0" t="s">
        <v>5593</v>
      </c>
      <c r="B3086" s="0" t="s">
        <v>5594</v>
      </c>
      <c r="C3086" s="5">
        <f>=HYPERLINK("https://nusmods.com/modules/PS3551#timetable","Timetable")</f>
      </c>
      <c r="D3086" s="5"/>
      <c r="E3086" s="5"/>
      <c r="F3086" s="0" t="s">
        <v>73</v>
      </c>
      <c r="G3086" s="0" t="s">
        <v>2554</v>
      </c>
      <c r="H3086" s="3">
        <v>1</v>
      </c>
    </row>
    <row r="3087">
      <c r="A3087" s="0" t="s">
        <v>5595</v>
      </c>
      <c r="B3087" s="0" t="s">
        <v>5596</v>
      </c>
      <c r="C3087" s="5">
        <f>=HYPERLINK("https://nusmods.com/modules/PS4201#timetable","Timetable")</f>
      </c>
      <c r="D3087" s="5"/>
      <c r="E3087" s="5">
        <f>=HYPERLINK("https://luminus.nus.edu.sg/modules/f14f6bb0-3be6-4e8f-843e-f490cf4b15ab","LumiNUS course site")</f>
      </c>
      <c r="F3087" s="0" t="s">
        <v>73</v>
      </c>
      <c r="G3087" s="0" t="s">
        <v>2554</v>
      </c>
      <c r="H3087" s="3">
        <v>40</v>
      </c>
    </row>
    <row r="3088">
      <c r="A3088" s="0" t="s">
        <v>5597</v>
      </c>
      <c r="B3088" s="0" t="s">
        <v>5598</v>
      </c>
      <c r="C3088" s="5">
        <f>=HYPERLINK("https://nusmods.com/modules/PS4203#timetable","Timetable")</f>
      </c>
      <c r="D3088" s="5"/>
      <c r="E3088" s="5">
        <f>=HYPERLINK("https://luminus.nus.edu.sg/modules/53238caa-ee89-4b1e-8cd6-c3c8103f8810","LumiNUS course site")</f>
      </c>
      <c r="F3088" s="0" t="s">
        <v>73</v>
      </c>
      <c r="G3088" s="0" t="s">
        <v>2554</v>
      </c>
      <c r="H3088" s="3">
        <v>46</v>
      </c>
    </row>
    <row r="3089">
      <c r="A3089" s="0" t="s">
        <v>5599</v>
      </c>
      <c r="B3089" s="0" t="s">
        <v>5600</v>
      </c>
      <c r="C3089" s="5">
        <f>=HYPERLINK("https://nusmods.com/modules/PS4209#timetable","Timetable")</f>
      </c>
      <c r="D3089" s="5"/>
      <c r="E3089" s="5">
        <f>=HYPERLINK("https://luminus.nus.edu.sg/modules/59637919-2dc7-428e-ae38-9add7f68895e","LumiNUS course site")</f>
      </c>
      <c r="F3089" s="0" t="s">
        <v>73</v>
      </c>
      <c r="G3089" s="0" t="s">
        <v>2554</v>
      </c>
      <c r="H3089" s="3">
        <v>37</v>
      </c>
    </row>
    <row r="3090">
      <c r="A3090" s="0" t="s">
        <v>5601</v>
      </c>
      <c r="B3090" s="0" t="s">
        <v>5602</v>
      </c>
      <c r="C3090" s="5">
        <f>=HYPERLINK("https://nusmods.com/modules/PS4220#timetable","Timetable")</f>
      </c>
      <c r="D3090" s="5"/>
      <c r="E3090" s="5">
        <f>=HYPERLINK("https://luminus.nus.edu.sg/modules/d236a86e-cb08-43bf-9d39-3411f65693f9","LumiNUS course site")</f>
      </c>
      <c r="F3090" s="0" t="s">
        <v>73</v>
      </c>
      <c r="G3090" s="0" t="s">
        <v>2554</v>
      </c>
      <c r="H3090" s="3">
        <v>46</v>
      </c>
    </row>
    <row r="3091">
      <c r="A3091" s="0" t="s">
        <v>5603</v>
      </c>
      <c r="B3091" s="0" t="s">
        <v>5604</v>
      </c>
      <c r="C3091" s="5">
        <f>=HYPERLINK("https://nusmods.com/modules/PS4237#timetable","Timetable")</f>
      </c>
      <c r="D3091" s="5"/>
      <c r="E3091" s="5">
        <f>=HYPERLINK("https://luminus.nus.edu.sg/modules/7e0e8322-1894-4fd7-95f2-d08ba21d0159","LumiNUS course site")</f>
      </c>
      <c r="F3091" s="0" t="s">
        <v>73</v>
      </c>
      <c r="G3091" s="0" t="s">
        <v>2554</v>
      </c>
      <c r="H3091" s="3">
        <v>42</v>
      </c>
    </row>
    <row r="3092">
      <c r="A3092" s="0" t="s">
        <v>5605</v>
      </c>
      <c r="B3092" s="0" t="s">
        <v>5606</v>
      </c>
      <c r="C3092" s="5">
        <f>=HYPERLINK("https://nusmods.com/modules/PS4311#timetable","Timetable")</f>
      </c>
      <c r="D3092" s="5"/>
      <c r="E3092" s="5">
        <f>=HYPERLINK("https://luminus.nus.edu.sg/modules/adf53d36-bbbd-402f-b8f5-c8612718d587","LumiNUS course site")</f>
      </c>
      <c r="F3092" s="0" t="s">
        <v>73</v>
      </c>
      <c r="G3092" s="0" t="s">
        <v>2554</v>
      </c>
      <c r="H3092" s="3">
        <v>39</v>
      </c>
    </row>
    <row r="3093">
      <c r="A3093" s="0" t="s">
        <v>5607</v>
      </c>
      <c r="B3093" s="0" t="s">
        <v>980</v>
      </c>
      <c r="C3093" s="5">
        <f>=HYPERLINK("https://nusmods.com/modules/PS4401#timetable","Timetable")</f>
      </c>
      <c r="D3093" s="5"/>
      <c r="E3093" s="5">
        <f>=HYPERLINK("https://luminus.nus.edu.sg/modules/77a6fa62-bda4-4165-ad3b-4506f22e37bd","LumiNUS course site")</f>
      </c>
      <c r="F3093" s="0" t="s">
        <v>73</v>
      </c>
      <c r="G3093" s="0" t="s">
        <v>2554</v>
      </c>
      <c r="H3093" s="3">
        <v>4</v>
      </c>
    </row>
    <row r="3094">
      <c r="A3094" s="0" t="s">
        <v>5608</v>
      </c>
      <c r="B3094" s="0" t="s">
        <v>602</v>
      </c>
      <c r="C3094" s="5">
        <f>=HYPERLINK("https://nusmods.com/modules/PS4660#timetable","Timetable")</f>
      </c>
      <c r="D3094" s="5"/>
      <c r="E3094" s="5"/>
      <c r="F3094" s="0" t="s">
        <v>73</v>
      </c>
      <c r="G3094" s="0" t="s">
        <v>2554</v>
      </c>
      <c r="H3094" s="3">
        <v>0</v>
      </c>
    </row>
    <row r="3095">
      <c r="A3095" s="0" t="s">
        <v>5609</v>
      </c>
      <c r="B3095" s="0" t="s">
        <v>5610</v>
      </c>
      <c r="C3095" s="5">
        <f>=HYPERLINK("https://nusmods.com/modules/PS4881G#timetable","Timetable")</f>
      </c>
      <c r="D3095" s="5">
        <f>=HYPERLINK("https://canvas.nus.edu.sg/courses/24502","Canvas course site")</f>
      </c>
      <c r="E3095" s="5">
        <f>=HYPERLINK("https://luminus.nus.edu.sg/modules/d1e27b9d-ca6b-48e0-84d0-3f3bbaf06c3d","LumiNUS course site")</f>
      </c>
      <c r="F3095" s="0" t="s">
        <v>73</v>
      </c>
      <c r="G3095" s="0" t="s">
        <v>2554</v>
      </c>
      <c r="H3095" s="3">
        <v>86</v>
      </c>
    </row>
    <row r="3096">
      <c r="A3096" s="0" t="s">
        <v>5611</v>
      </c>
      <c r="B3096" s="0" t="s">
        <v>5612</v>
      </c>
      <c r="C3096" s="5">
        <f>=HYPERLINK("https://nusmods.com/modules/PS4882A#timetable","Timetable")</f>
      </c>
      <c r="D3096" s="5"/>
      <c r="E3096" s="5">
        <f>=HYPERLINK("https://luminus.nus.edu.sg/modules/44e673d4-f05e-48f6-b168-8517bac562c7","LumiNUS course site")</f>
      </c>
      <c r="F3096" s="0" t="s">
        <v>73</v>
      </c>
      <c r="G3096" s="0" t="s">
        <v>2554</v>
      </c>
      <c r="H3096" s="3">
        <v>42</v>
      </c>
    </row>
    <row r="3097">
      <c r="A3097" s="0" t="s">
        <v>5613</v>
      </c>
      <c r="B3097" s="0" t="s">
        <v>5614</v>
      </c>
      <c r="C3097" s="5">
        <f>=HYPERLINK("https://nusmods.com/modules/PS5312#timetable","Timetable")</f>
      </c>
      <c r="D3097" s="5"/>
      <c r="E3097" s="5">
        <f>=HYPERLINK("https://luminus.nus.edu.sg/modules/c8a3903f-2540-473e-8ded-be06094d6c77","LumiNUS course site")</f>
      </c>
      <c r="F3097" s="0" t="s">
        <v>73</v>
      </c>
      <c r="G3097" s="0" t="s">
        <v>2554</v>
      </c>
      <c r="H3097" s="3">
        <v>3</v>
      </c>
    </row>
    <row r="3098">
      <c r="A3098" s="0" t="s">
        <v>5615</v>
      </c>
      <c r="B3098" s="0" t="s">
        <v>5616</v>
      </c>
      <c r="C3098" s="5">
        <f>=HYPERLINK("https://nusmods.com/modules/PS5312R#timetable","Timetable")</f>
      </c>
      <c r="D3098" s="5"/>
      <c r="E3098" s="5">
        <f>=HYPERLINK("https://luminus.nus.edu.sg/modules/f064ba35-224f-404b-aecb-89d6dc2662dd","LumiNUS course site")</f>
      </c>
      <c r="F3098" s="0" t="s">
        <v>73</v>
      </c>
      <c r="G3098" s="0" t="s">
        <v>2554</v>
      </c>
      <c r="H3098" s="3">
        <v>0</v>
      </c>
    </row>
    <row r="3099">
      <c r="A3099" s="0" t="s">
        <v>5617</v>
      </c>
      <c r="B3099" s="0" t="s">
        <v>5618</v>
      </c>
      <c r="C3099" s="5">
        <f>=HYPERLINK("https://nusmods.com/modules/PS5314#timetable","Timetable")</f>
      </c>
      <c r="D3099" s="5"/>
      <c r="E3099" s="5">
        <f>=HYPERLINK("https://luminus.nus.edu.sg/modules/1067c94c-9e30-49a4-b92e-14b6656297d1","LumiNUS course site")</f>
      </c>
      <c r="F3099" s="0" t="s">
        <v>73</v>
      </c>
      <c r="G3099" s="0" t="s">
        <v>2554</v>
      </c>
      <c r="H3099" s="3">
        <v>1</v>
      </c>
    </row>
    <row r="3100">
      <c r="A3100" s="0" t="s">
        <v>5619</v>
      </c>
      <c r="B3100" s="0" t="s">
        <v>5620</v>
      </c>
      <c r="C3100" s="5">
        <f>=HYPERLINK("https://nusmods.com/modules/PS5314R#timetable","Timetable")</f>
      </c>
      <c r="D3100" s="5"/>
      <c r="E3100" s="5"/>
      <c r="F3100" s="0" t="s">
        <v>73</v>
      </c>
      <c r="G3100" s="0" t="s">
        <v>2554</v>
      </c>
      <c r="H3100" s="3">
        <v>2</v>
      </c>
    </row>
    <row r="3101">
      <c r="A3101" s="0" t="s">
        <v>5621</v>
      </c>
      <c r="B3101" s="0" t="s">
        <v>5622</v>
      </c>
      <c r="C3101" s="5">
        <f>=HYPERLINK("https://nusmods.com/modules/PS5503#timetable","Timetable")</f>
      </c>
      <c r="D3101" s="5">
        <f>=HYPERLINK("https://canvas.nus.edu.sg/courses/24531","Canvas course site")</f>
      </c>
      <c r="E3101" s="5">
        <f>=HYPERLINK("https://luminus.nus.edu.sg/modules/67dd2641-90e3-48a7-b33f-cbd8b76a5269","LumiNUS course site")</f>
      </c>
      <c r="F3101" s="0" t="s">
        <v>73</v>
      </c>
      <c r="G3101" s="0" t="s">
        <v>2554</v>
      </c>
      <c r="H3101" s="3">
        <v>3</v>
      </c>
    </row>
    <row r="3102">
      <c r="A3102" s="0" t="s">
        <v>5623</v>
      </c>
      <c r="B3102" s="0" t="s">
        <v>5622</v>
      </c>
      <c r="C3102" s="5">
        <f>=HYPERLINK("https://nusmods.com/modules/PS5503R#timetable","Timetable")</f>
      </c>
      <c r="D3102" s="5">
        <f>=HYPERLINK("https://canvas.nus.edu.sg/courses/24531","Canvas course site")</f>
      </c>
      <c r="E3102" s="5">
        <f>=HYPERLINK("https://luminus.nus.edu.sg/modules/f8b27358-9503-4aa9-af06-6b1f86376d4c","LumiNUS course site")</f>
      </c>
      <c r="F3102" s="0" t="s">
        <v>73</v>
      </c>
      <c r="G3102" s="0" t="s">
        <v>2554</v>
      </c>
      <c r="H3102" s="3">
        <v>5</v>
      </c>
    </row>
    <row r="3103">
      <c r="A3103" s="0" t="s">
        <v>5624</v>
      </c>
      <c r="B3103" s="0" t="s">
        <v>989</v>
      </c>
      <c r="C3103" s="5">
        <f>=HYPERLINK("https://nusmods.com/modules/PS6660#timetable","Timetable")</f>
      </c>
      <c r="D3103" s="5"/>
      <c r="E3103" s="5"/>
      <c r="F3103" s="0" t="s">
        <v>73</v>
      </c>
      <c r="G3103" s="0" t="s">
        <v>2554</v>
      </c>
      <c r="H3103" s="3">
        <v>3</v>
      </c>
    </row>
    <row r="3104">
      <c r="A3104" s="0" t="s">
        <v>5625</v>
      </c>
      <c r="B3104" s="0" t="s">
        <v>995</v>
      </c>
      <c r="C3104" s="5">
        <f>=HYPERLINK("https://nusmods.com/modules/PS6770#timetable","Timetable")</f>
      </c>
      <c r="D3104" s="5"/>
      <c r="E3104" s="5">
        <f>=HYPERLINK("https://luminus.nus.edu.sg/modules/4333fece-ca6a-44b4-8f89-5a2c207a2686","LumiNUS course site")</f>
      </c>
      <c r="F3104" s="0" t="s">
        <v>73</v>
      </c>
      <c r="G3104" s="0" t="s">
        <v>2554</v>
      </c>
      <c r="H3104" s="3">
        <v>8</v>
      </c>
    </row>
    <row r="3105">
      <c r="A3105" s="0" t="s">
        <v>5626</v>
      </c>
      <c r="B3105" s="0" t="s">
        <v>5627</v>
      </c>
      <c r="C3105" s="5">
        <f>=HYPERLINK("https://nusmods.com/modules/QF1100#timetable","Timetable")</f>
      </c>
      <c r="D3105" s="5"/>
      <c r="E3105" s="5">
        <f>=HYPERLINK("https://luminus.nus.edu.sg/modules/5ec7dd1f-dde3-4fc1-bb8f-2cbef531607c","LumiNUS course site")</f>
      </c>
      <c r="F3105" s="0" t="s">
        <v>266</v>
      </c>
      <c r="G3105" s="0" t="s">
        <v>1621</v>
      </c>
      <c r="H3105" s="3">
        <v>141</v>
      </c>
    </row>
    <row r="3106">
      <c r="A3106" s="0" t="s">
        <v>5628</v>
      </c>
      <c r="B3106" s="0" t="s">
        <v>1623</v>
      </c>
      <c r="C3106" s="5">
        <f>=HYPERLINK("https://nusmods.com/modules/QF2312#timetable","Timetable")</f>
      </c>
      <c r="D3106" s="5"/>
      <c r="E3106" s="5"/>
      <c r="F3106" s="0" t="s">
        <v>266</v>
      </c>
      <c r="G3106" s="0" t="s">
        <v>1621</v>
      </c>
      <c r="H3106" s="3">
        <v>1</v>
      </c>
    </row>
    <row r="3107">
      <c r="A3107" s="0" t="s">
        <v>5629</v>
      </c>
      <c r="B3107" s="0" t="s">
        <v>3845</v>
      </c>
      <c r="C3107" s="5">
        <f>=HYPERLINK("https://nusmods.com/modules/QF3310#timetable","Timetable")</f>
      </c>
      <c r="D3107" s="5"/>
      <c r="E3107" s="5"/>
      <c r="F3107" s="0" t="s">
        <v>266</v>
      </c>
      <c r="G3107" s="0" t="s">
        <v>1621</v>
      </c>
      <c r="H3107" s="3">
        <v>0</v>
      </c>
    </row>
    <row r="3108">
      <c r="A3108" s="0" t="s">
        <v>5630</v>
      </c>
      <c r="B3108" s="0" t="s">
        <v>3845</v>
      </c>
      <c r="C3108" s="5">
        <f>=HYPERLINK("https://nusmods.com/modules/QF3311#timetable","Timetable")</f>
      </c>
      <c r="D3108" s="5"/>
      <c r="E3108" s="5"/>
      <c r="F3108" s="0" t="s">
        <v>266</v>
      </c>
      <c r="G3108" s="0" t="s">
        <v>1621</v>
      </c>
      <c r="H3108" s="3">
        <v>0</v>
      </c>
    </row>
    <row r="3109">
      <c r="A3109" s="0" t="s">
        <v>5631</v>
      </c>
      <c r="B3109" s="0" t="s">
        <v>1089</v>
      </c>
      <c r="C3109" s="5">
        <f>=HYPERLINK("https://nusmods.com/modules/QF3312#timetable","Timetable")</f>
      </c>
      <c r="D3109" s="5"/>
      <c r="E3109" s="5"/>
      <c r="F3109" s="0" t="s">
        <v>266</v>
      </c>
      <c r="G3109" s="0" t="s">
        <v>1621</v>
      </c>
      <c r="H3109" s="3">
        <v>2</v>
      </c>
    </row>
    <row r="3110">
      <c r="A3110" s="0" t="s">
        <v>5632</v>
      </c>
      <c r="B3110" s="0" t="s">
        <v>5633</v>
      </c>
      <c r="C3110" s="5">
        <f>=HYPERLINK("https://nusmods.com/modules/QF4102#timetable","Timetable")</f>
      </c>
      <c r="D3110" s="5">
        <f>=HYPERLINK("https://canvas.nus.edu.sg/courses/24577","Canvas course site")</f>
      </c>
      <c r="E3110" s="5"/>
      <c r="F3110" s="0" t="s">
        <v>266</v>
      </c>
      <c r="G3110" s="0" t="s">
        <v>1621</v>
      </c>
      <c r="H3110" s="3">
        <v>30</v>
      </c>
    </row>
    <row r="3111">
      <c r="A3111" s="0" t="s">
        <v>5634</v>
      </c>
      <c r="B3111" s="0" t="s">
        <v>5635</v>
      </c>
      <c r="C3111" s="5">
        <f>=HYPERLINK("https://nusmods.com/modules/QF4103#timetable","Timetable")</f>
      </c>
      <c r="D3111" s="5">
        <f>=HYPERLINK("https://canvas.nus.edu.sg/courses/26808","Canvas course site")</f>
      </c>
      <c r="E3111" s="5"/>
      <c r="F3111" s="0" t="s">
        <v>266</v>
      </c>
      <c r="G3111" s="0" t="s">
        <v>1621</v>
      </c>
      <c r="H3111" s="3">
        <v>38</v>
      </c>
    </row>
    <row r="3112">
      <c r="A3112" s="0" t="s">
        <v>5636</v>
      </c>
      <c r="B3112" s="0" t="s">
        <v>5637</v>
      </c>
      <c r="C3112" s="5">
        <f>=HYPERLINK("https://nusmods.com/modules/QF4199#timetable","Timetable")</f>
      </c>
      <c r="D3112" s="5"/>
      <c r="E3112" s="5">
        <f>=HYPERLINK("https://luminus.nus.edu.sg/modules/8d49d925-9d4c-424e-b0e5-ab71302634fb","LumiNUS course site")</f>
      </c>
      <c r="F3112" s="0" t="s">
        <v>266</v>
      </c>
      <c r="G3112" s="0" t="s">
        <v>1621</v>
      </c>
      <c r="H3112" s="3">
        <v>19</v>
      </c>
    </row>
    <row r="3113">
      <c r="A3113" s="0" t="s">
        <v>5638</v>
      </c>
      <c r="B3113" s="0" t="s">
        <v>5639</v>
      </c>
      <c r="C3113" s="5">
        <f>=HYPERLINK("https://nusmods.com/modules/QF5205#timetable","Timetable")</f>
      </c>
      <c r="D3113" s="5">
        <f>=HYPERLINK("https://canvas.nus.edu.sg/courses/24592","Canvas course site")</f>
      </c>
      <c r="E3113" s="5"/>
      <c r="F3113" s="0" t="s">
        <v>266</v>
      </c>
      <c r="G3113" s="0" t="s">
        <v>1621</v>
      </c>
      <c r="H3113" s="3">
        <v>83</v>
      </c>
    </row>
    <row r="3114">
      <c r="A3114" s="0" t="s">
        <v>5640</v>
      </c>
      <c r="B3114" s="0" t="s">
        <v>5641</v>
      </c>
      <c r="C3114" s="5">
        <f>=HYPERLINK("https://nusmods.com/modules/QF5206#timetable","Timetable")</f>
      </c>
      <c r="D3114" s="5">
        <f>=HYPERLINK("https://canvas.nus.edu.sg/courses/24596","Canvas course site")</f>
      </c>
      <c r="E3114" s="5"/>
      <c r="F3114" s="0" t="s">
        <v>266</v>
      </c>
      <c r="G3114" s="0" t="s">
        <v>1621</v>
      </c>
      <c r="H3114" s="3">
        <v>74</v>
      </c>
    </row>
    <row r="3115">
      <c r="A3115" s="0" t="s">
        <v>5642</v>
      </c>
      <c r="B3115" s="0" t="s">
        <v>5643</v>
      </c>
      <c r="C3115" s="5">
        <f>=HYPERLINK("https://nusmods.com/modules/QF5209#timetable","Timetable")</f>
      </c>
      <c r="D3115" s="5">
        <f>=HYPERLINK("https://canvas.nus.edu.sg/courses/27108","Canvas course site")</f>
      </c>
      <c r="E3115" s="5">
        <f>=HYPERLINK("https://luminus.nus.edu.sg/modules/d8dd809a-84bc-4e91-99b1-3772c8f06df2","LumiNUS course site")</f>
      </c>
      <c r="F3115" s="0" t="s">
        <v>266</v>
      </c>
      <c r="G3115" s="0" t="s">
        <v>1621</v>
      </c>
      <c r="H3115" s="3">
        <v>122</v>
      </c>
    </row>
    <row r="3116">
      <c r="A3116" s="0" t="s">
        <v>5644</v>
      </c>
      <c r="B3116" s="0" t="s">
        <v>5643</v>
      </c>
      <c r="C3116" s="5">
        <f>=HYPERLINK("https://nusmods.com/modules/QF5209A#timetable","Timetable")</f>
      </c>
      <c r="D3116" s="5"/>
      <c r="E3116" s="5">
        <f>=HYPERLINK("https://luminus.nus.edu.sg/modules/d8dd809a-84bc-4e91-99b1-3772c8f06df2","LumiNUS course site")</f>
      </c>
      <c r="F3116" s="0" t="s">
        <v>266</v>
      </c>
      <c r="G3116" s="0" t="s">
        <v>1621</v>
      </c>
      <c r="H3116" s="3">
        <v>59</v>
      </c>
    </row>
    <row r="3117">
      <c r="A3117" s="0" t="s">
        <v>5645</v>
      </c>
      <c r="B3117" s="0" t="s">
        <v>5646</v>
      </c>
      <c r="C3117" s="5">
        <f>=HYPERLINK("https://nusmods.com/modules/QF5210#timetable","Timetable")</f>
      </c>
      <c r="D3117" s="5">
        <f>=HYPERLINK("https://canvas.nus.edu.sg/courses/24600","Canvas course site")</f>
      </c>
      <c r="E3117" s="5"/>
      <c r="F3117" s="0" t="s">
        <v>266</v>
      </c>
      <c r="G3117" s="0" t="s">
        <v>1621</v>
      </c>
      <c r="H3117" s="3">
        <v>158</v>
      </c>
    </row>
    <row r="3118">
      <c r="A3118" s="0" t="s">
        <v>5647</v>
      </c>
      <c r="B3118" s="0" t="s">
        <v>5648</v>
      </c>
      <c r="C3118" s="5">
        <f>=HYPERLINK("https://nusmods.com/modules/QF5314#timetable","Timetable")</f>
      </c>
      <c r="D3118" s="5"/>
      <c r="E3118" s="5"/>
      <c r="F3118" s="0" t="s">
        <v>266</v>
      </c>
      <c r="G3118" s="0" t="s">
        <v>1621</v>
      </c>
      <c r="H3118" s="3">
        <v>24</v>
      </c>
    </row>
    <row r="3119">
      <c r="A3119" s="0" t="s">
        <v>5649</v>
      </c>
      <c r="B3119" s="0" t="s">
        <v>5650</v>
      </c>
      <c r="C3119" s="5">
        <f>=HYPERLINK("https://nusmods.com/modules/QF5401#timetable","Timetable")</f>
      </c>
      <c r="D3119" s="5"/>
      <c r="E3119" s="5">
        <f>=HYPERLINK("https://luminus.nus.edu.sg/modules/e353b2cd-c90b-44bd-8c2a-5533caf30968","LumiNUS course site")</f>
      </c>
      <c r="F3119" s="0" t="s">
        <v>266</v>
      </c>
      <c r="G3119" s="0" t="s">
        <v>1621</v>
      </c>
      <c r="H3119" s="3">
        <v>19</v>
      </c>
    </row>
    <row r="3120">
      <c r="A3120" s="0" t="s">
        <v>5651</v>
      </c>
      <c r="B3120" s="0" t="s">
        <v>5652</v>
      </c>
      <c r="C3120" s="5">
        <f>=HYPERLINK("https://nusmods.com/modules/QF5402#timetable","Timetable")</f>
      </c>
      <c r="D3120" s="5"/>
      <c r="E3120" s="5"/>
      <c r="F3120" s="0" t="s">
        <v>266</v>
      </c>
      <c r="G3120" s="0" t="s">
        <v>1621</v>
      </c>
      <c r="H3120" s="3">
        <v>0</v>
      </c>
    </row>
    <row r="3121">
      <c r="A3121" s="0" t="s">
        <v>5653</v>
      </c>
      <c r="B3121" s="0" t="s">
        <v>5654</v>
      </c>
      <c r="C3121" s="5">
        <f>=HYPERLINK("https://nusmods.com/modules/QT5201S#timetable","Timetable")</f>
      </c>
      <c r="D3121" s="5">
        <f>=HYPERLINK("https://canvas.nus.edu.sg/courses/24625","Canvas course site")</f>
      </c>
      <c r="E3121" s="5"/>
      <c r="F3121" s="0" t="s">
        <v>2745</v>
      </c>
      <c r="G3121" s="0" t="s">
        <v>5655</v>
      </c>
      <c r="H3121" s="3">
        <v>17</v>
      </c>
    </row>
    <row r="3122">
      <c r="A3122" s="0" t="s">
        <v>5656</v>
      </c>
      <c r="B3122" s="0" t="s">
        <v>5657</v>
      </c>
      <c r="C3122" s="5">
        <f>=HYPERLINK("https://nusmods.com/modules/QT5201V#timetable","Timetable")</f>
      </c>
      <c r="D3122" s="5"/>
      <c r="E3122" s="5">
        <f>=HYPERLINK("https://luminus.nus.edu.sg/modules/7a4debb9-de42-44e3-9b96-95d2c883af43","LumiNUS course site")</f>
      </c>
      <c r="F3122" s="0" t="s">
        <v>2745</v>
      </c>
      <c r="G3122" s="0" t="s">
        <v>5655</v>
      </c>
      <c r="H3122" s="3">
        <v>0</v>
      </c>
    </row>
    <row r="3123">
      <c r="A3123" s="0" t="s">
        <v>5658</v>
      </c>
      <c r="B3123" s="0" t="s">
        <v>5659</v>
      </c>
      <c r="C3123" s="5">
        <f>=HYPERLINK("https://nusmods.com/modules/RE1701#timetable","Timetable")</f>
      </c>
      <c r="D3123" s="5">
        <f>=HYPERLINK("https://canvas.nus.edu.sg/courses/24635","Canvas course site")</f>
      </c>
      <c r="E3123" s="5"/>
      <c r="F3123" s="0" t="s">
        <v>28</v>
      </c>
      <c r="G3123" s="0" t="s">
        <v>2547</v>
      </c>
      <c r="H3123" s="3">
        <v>99</v>
      </c>
    </row>
    <row r="3124">
      <c r="A3124" s="0" t="s">
        <v>5660</v>
      </c>
      <c r="B3124" s="0" t="s">
        <v>5661</v>
      </c>
      <c r="C3124" s="5">
        <f>=HYPERLINK("https://nusmods.com/modules/RE1702#timetable","Timetable")</f>
      </c>
      <c r="D3124" s="5"/>
      <c r="E3124" s="5">
        <f>=HYPERLINK("https://luminus.nus.edu.sg/modules/d2ab4a50-e34e-4b0b-90d8-bd7584d4177e","LumiNUS course site")</f>
      </c>
      <c r="F3124" s="0" t="s">
        <v>28</v>
      </c>
      <c r="G3124" s="0" t="s">
        <v>2547</v>
      </c>
      <c r="H3124" s="3">
        <v>111</v>
      </c>
    </row>
    <row r="3125">
      <c r="A3125" s="0" t="s">
        <v>5662</v>
      </c>
      <c r="B3125" s="0" t="s">
        <v>5663</v>
      </c>
      <c r="C3125" s="5">
        <f>=HYPERLINK("https://nusmods.com/modules/RE1703#timetable","Timetable")</f>
      </c>
      <c r="D3125" s="5">
        <f>=HYPERLINK("https://canvas.nus.edu.sg/courses/24645","Canvas course site")</f>
      </c>
      <c r="E3125" s="5"/>
      <c r="F3125" s="0" t="s">
        <v>28</v>
      </c>
      <c r="G3125" s="0" t="s">
        <v>2547</v>
      </c>
      <c r="H3125" s="3">
        <v>85</v>
      </c>
    </row>
    <row r="3126">
      <c r="A3126" s="0" t="s">
        <v>5664</v>
      </c>
      <c r="B3126" s="0" t="s">
        <v>5665</v>
      </c>
      <c r="C3126" s="5">
        <f>=HYPERLINK("https://nusmods.com/modules/RE1705#timetable","Timetable")</f>
      </c>
      <c r="D3126" s="5"/>
      <c r="E3126" s="5">
        <f>=HYPERLINK("https://luminus.nus.edu.sg/modules/531213b8-d7d0-47ab-bf9e-b62809c2d764","LumiNUS course site")</f>
      </c>
      <c r="F3126" s="0" t="s">
        <v>28</v>
      </c>
      <c r="G3126" s="0" t="s">
        <v>2547</v>
      </c>
      <c r="H3126" s="3">
        <v>95</v>
      </c>
    </row>
    <row r="3127">
      <c r="A3127" s="0" t="s">
        <v>5666</v>
      </c>
      <c r="B3127" s="0" t="s">
        <v>5667</v>
      </c>
      <c r="C3127" s="5">
        <f>=HYPERLINK("https://nusmods.com/modules/RE2701#timetable","Timetable")</f>
      </c>
      <c r="D3127" s="5"/>
      <c r="E3127" s="5">
        <f>=HYPERLINK("https://luminus.nus.edu.sg/modules/8050dad9-83ac-48d2-acdc-81a59ec696ad","LumiNUS course site")</f>
      </c>
      <c r="F3127" s="0" t="s">
        <v>28</v>
      </c>
      <c r="G3127" s="0" t="s">
        <v>2547</v>
      </c>
      <c r="H3127" s="3">
        <v>145</v>
      </c>
    </row>
    <row r="3128">
      <c r="A3128" s="0" t="s">
        <v>5668</v>
      </c>
      <c r="B3128" s="0" t="s">
        <v>5669</v>
      </c>
      <c r="C3128" s="5">
        <f>=HYPERLINK("https://nusmods.com/modules/RE2702#timetable","Timetable")</f>
      </c>
      <c r="D3128" s="5">
        <f>=HYPERLINK("https://canvas.nus.edu.sg/courses/24664","Canvas course site")</f>
      </c>
      <c r="E3128" s="5"/>
      <c r="F3128" s="0" t="s">
        <v>28</v>
      </c>
      <c r="G3128" s="0" t="s">
        <v>2547</v>
      </c>
      <c r="H3128" s="3">
        <v>79</v>
      </c>
    </row>
    <row r="3129">
      <c r="A3129" s="0" t="s">
        <v>5670</v>
      </c>
      <c r="B3129" s="0" t="s">
        <v>1769</v>
      </c>
      <c r="C3129" s="5">
        <f>=HYPERLINK("https://nusmods.com/modules/RE2705#timetable","Timetable")</f>
      </c>
      <c r="D3129" s="5"/>
      <c r="E3129" s="5">
        <f>=HYPERLINK("https://luminus.nus.edu.sg/modules/eaa3550a-8d27-496d-bc25-5686257a0bab","LumiNUS course site")</f>
      </c>
      <c r="F3129" s="0" t="s">
        <v>28</v>
      </c>
      <c r="G3129" s="0" t="s">
        <v>2547</v>
      </c>
      <c r="H3129" s="3">
        <v>95</v>
      </c>
    </row>
    <row r="3130">
      <c r="A3130" s="0" t="s">
        <v>5671</v>
      </c>
      <c r="B3130" s="0" t="s">
        <v>5672</v>
      </c>
      <c r="C3130" s="5">
        <f>=HYPERLINK("https://nusmods.com/modules/RE2707#timetable","Timetable")</f>
      </c>
      <c r="D3130" s="5">
        <f>=HYPERLINK("https://canvas.nus.edu.sg/courses/24679","Canvas course site")</f>
      </c>
      <c r="E3130" s="5"/>
      <c r="F3130" s="0" t="s">
        <v>28</v>
      </c>
      <c r="G3130" s="0" t="s">
        <v>2547</v>
      </c>
      <c r="H3130" s="3">
        <v>46</v>
      </c>
    </row>
    <row r="3131">
      <c r="A3131" s="0" t="s">
        <v>5673</v>
      </c>
      <c r="B3131" s="0" t="s">
        <v>5674</v>
      </c>
      <c r="C3131" s="5">
        <f>=HYPERLINK("https://nusmods.com/modules/RE2708#timetable","Timetable")</f>
      </c>
      <c r="D3131" s="5">
        <f>=HYPERLINK("https://canvas.nus.edu.sg/courses/24684","Canvas course site")</f>
      </c>
      <c r="E3131" s="5"/>
      <c r="F3131" s="0" t="s">
        <v>28</v>
      </c>
      <c r="G3131" s="0" t="s">
        <v>2547</v>
      </c>
      <c r="H3131" s="3">
        <v>124</v>
      </c>
    </row>
    <row r="3132">
      <c r="A3132" s="0" t="s">
        <v>5675</v>
      </c>
      <c r="B3132" s="0" t="s">
        <v>5676</v>
      </c>
      <c r="C3132" s="5">
        <f>=HYPERLINK("https://nusmods.com/modules/RE3701#timetable","Timetable")</f>
      </c>
      <c r="D3132" s="5"/>
      <c r="E3132" s="5">
        <f>=HYPERLINK("https://luminus.nus.edu.sg/modules/eb83ce85-5241-4207-a840-d521371b2a69","LumiNUS course site")</f>
      </c>
      <c r="F3132" s="0" t="s">
        <v>28</v>
      </c>
      <c r="G3132" s="0" t="s">
        <v>2547</v>
      </c>
      <c r="H3132" s="3">
        <v>122</v>
      </c>
    </row>
    <row r="3133">
      <c r="A3133" s="0" t="s">
        <v>5677</v>
      </c>
      <c r="B3133" s="0" t="s">
        <v>5678</v>
      </c>
      <c r="C3133" s="5">
        <f>=HYPERLINK("https://nusmods.com/modules/RE3702#timetable","Timetable")</f>
      </c>
      <c r="D3133" s="5">
        <f>=HYPERLINK("https://canvas.nus.edu.sg/courses/24694","Canvas course site")</f>
      </c>
      <c r="E3133" s="5">
        <f>=HYPERLINK("https://luminus.nus.edu.sg/modules/e8d7a1ec-d4c4-4d34-a383-ca40a629743c","LumiNUS course site")</f>
      </c>
      <c r="F3133" s="0" t="s">
        <v>28</v>
      </c>
      <c r="G3133" s="0" t="s">
        <v>2547</v>
      </c>
      <c r="H3133" s="3">
        <v>154</v>
      </c>
    </row>
    <row r="3134">
      <c r="A3134" s="0" t="s">
        <v>5679</v>
      </c>
      <c r="B3134" s="0" t="s">
        <v>5680</v>
      </c>
      <c r="C3134" s="5">
        <f>=HYPERLINK("https://nusmods.com/modules/RE3703#timetable","Timetable")</f>
      </c>
      <c r="D3134" s="5"/>
      <c r="E3134" s="5">
        <f>=HYPERLINK("https://luminus.nus.edu.sg/modules/a5c6644b-d362-44bf-b59a-b100b9cc05d4","LumiNUS course site")</f>
      </c>
      <c r="F3134" s="0" t="s">
        <v>28</v>
      </c>
      <c r="G3134" s="0" t="s">
        <v>2547</v>
      </c>
      <c r="H3134" s="3">
        <v>87</v>
      </c>
    </row>
    <row r="3135">
      <c r="A3135" s="0" t="s">
        <v>5681</v>
      </c>
      <c r="B3135" s="0" t="s">
        <v>5682</v>
      </c>
      <c r="C3135" s="5">
        <f>=HYPERLINK("https://nusmods.com/modules/RE3704#timetable","Timetable")</f>
      </c>
      <c r="D3135" s="5">
        <f>=HYPERLINK("https://canvas.nus.edu.sg/courses/24703","Canvas course site")</f>
      </c>
      <c r="E3135" s="5"/>
      <c r="F3135" s="0" t="s">
        <v>28</v>
      </c>
      <c r="G3135" s="0" t="s">
        <v>2547</v>
      </c>
      <c r="H3135" s="3">
        <v>99</v>
      </c>
    </row>
    <row r="3136">
      <c r="A3136" s="0" t="s">
        <v>5683</v>
      </c>
      <c r="B3136" s="0" t="s">
        <v>5684</v>
      </c>
      <c r="C3136" s="5">
        <f>=HYPERLINK("https://nusmods.com/modules/RE3803#timetable","Timetable")</f>
      </c>
      <c r="D3136" s="5"/>
      <c r="E3136" s="5">
        <f>=HYPERLINK("https://luminus.nus.edu.sg/modules/a223878a-1733-4e6e-af22-aea7a5e7817d","LumiNUS course site")</f>
      </c>
      <c r="F3136" s="0" t="s">
        <v>28</v>
      </c>
      <c r="G3136" s="0" t="s">
        <v>2547</v>
      </c>
      <c r="H3136" s="3">
        <v>101</v>
      </c>
    </row>
    <row r="3137">
      <c r="A3137" s="0" t="s">
        <v>5685</v>
      </c>
      <c r="B3137" s="0" t="s">
        <v>5686</v>
      </c>
      <c r="C3137" s="5">
        <f>=HYPERLINK("https://nusmods.com/modules/RE3807#timetable","Timetable")</f>
      </c>
      <c r="D3137" s="5"/>
      <c r="E3137" s="5">
        <f>=HYPERLINK("https://luminus.nus.edu.sg/modules/f3c71ad6-af0f-46eb-9a0c-52ca3b4db9c6","LumiNUS course site")</f>
      </c>
      <c r="F3137" s="0" t="s">
        <v>28</v>
      </c>
      <c r="G3137" s="0" t="s">
        <v>2547</v>
      </c>
      <c r="H3137" s="3">
        <v>39</v>
      </c>
    </row>
    <row r="3138">
      <c r="A3138" s="0" t="s">
        <v>5687</v>
      </c>
      <c r="B3138" s="0" t="s">
        <v>5688</v>
      </c>
      <c r="C3138" s="5">
        <f>=HYPERLINK("https://nusmods.com/modules/RE3901#timetable","Timetable")</f>
      </c>
      <c r="D3138" s="5"/>
      <c r="E3138" s="5">
        <f>=HYPERLINK("https://luminus.nus.edu.sg/modules/b7ec45b4-65d4-44d7-aa4d-ed18a5cb37fd","LumiNUS course site")</f>
      </c>
      <c r="F3138" s="0" t="s">
        <v>28</v>
      </c>
      <c r="G3138" s="0" t="s">
        <v>2547</v>
      </c>
      <c r="H3138" s="3">
        <v>49</v>
      </c>
    </row>
    <row r="3139">
      <c r="A3139" s="0" t="s">
        <v>5689</v>
      </c>
      <c r="B3139" s="0" t="s">
        <v>5690</v>
      </c>
      <c r="C3139" s="5">
        <f>=HYPERLINK("https://nusmods.com/modules/RE4701#timetable","Timetable")</f>
      </c>
      <c r="D3139" s="5">
        <f>=HYPERLINK("https://canvas.nus.edu.sg/courses/24723","Canvas course site")</f>
      </c>
      <c r="E3139" s="5"/>
      <c r="F3139" s="0" t="s">
        <v>28</v>
      </c>
      <c r="G3139" s="0" t="s">
        <v>2547</v>
      </c>
      <c r="H3139" s="3">
        <v>157</v>
      </c>
    </row>
    <row r="3140">
      <c r="A3140" s="0" t="s">
        <v>5691</v>
      </c>
      <c r="B3140" s="0" t="s">
        <v>5692</v>
      </c>
      <c r="C3140" s="5">
        <f>=HYPERLINK("https://nusmods.com/modules/RE4702#timetable","Timetable")</f>
      </c>
      <c r="D3140" s="5"/>
      <c r="E3140" s="5">
        <f>=HYPERLINK("https://luminus.nus.edu.sg/modules/e6b4d5ad-389a-4887-9a93-4ef2456f077b","LumiNUS course site")</f>
      </c>
      <c r="F3140" s="0" t="s">
        <v>28</v>
      </c>
      <c r="G3140" s="0" t="s">
        <v>2547</v>
      </c>
      <c r="H3140" s="3">
        <v>173</v>
      </c>
    </row>
    <row r="3141">
      <c r="A3141" s="0" t="s">
        <v>5693</v>
      </c>
      <c r="B3141" s="0" t="s">
        <v>5694</v>
      </c>
      <c r="C3141" s="5">
        <f>=HYPERLINK("https://nusmods.com/modules/RE4711#timetable","Timetable")</f>
      </c>
      <c r="D3141" s="5"/>
      <c r="E3141" s="5">
        <f>=HYPERLINK("https://luminus.nus.edu.sg/modules/192db1b2-92f4-4531-892b-51e921fd924f","LumiNUS course site")</f>
      </c>
      <c r="F3141" s="0" t="s">
        <v>28</v>
      </c>
      <c r="G3141" s="0" t="s">
        <v>2547</v>
      </c>
      <c r="H3141" s="3">
        <v>8</v>
      </c>
    </row>
    <row r="3142">
      <c r="A3142" s="0" t="s">
        <v>5695</v>
      </c>
      <c r="B3142" s="0" t="s">
        <v>5696</v>
      </c>
      <c r="C3142" s="5">
        <f>=HYPERLINK("https://nusmods.com/modules/RE4712#timetable","Timetable")</f>
      </c>
      <c r="D3142" s="5"/>
      <c r="E3142" s="5">
        <f>=HYPERLINK("https://luminus.nus.edu.sg/modules/f519cad3-d16e-439c-bde3-45665d49b0a7","LumiNUS course site")</f>
      </c>
      <c r="F3142" s="0" t="s">
        <v>28</v>
      </c>
      <c r="G3142" s="0" t="s">
        <v>2547</v>
      </c>
      <c r="H3142" s="3">
        <v>25</v>
      </c>
    </row>
    <row r="3143">
      <c r="A3143" s="0" t="s">
        <v>5697</v>
      </c>
      <c r="B3143" s="0" t="s">
        <v>5698</v>
      </c>
      <c r="C3143" s="5">
        <f>=HYPERLINK("https://nusmods.com/modules/RE4803#timetable","Timetable")</f>
      </c>
      <c r="D3143" s="5"/>
      <c r="E3143" s="5">
        <f>=HYPERLINK("https://luminus.nus.edu.sg/modules/8bf6fde6-de23-45b5-bd1b-f8cc24250cd6","LumiNUS course site")</f>
      </c>
      <c r="F3143" s="0" t="s">
        <v>28</v>
      </c>
      <c r="G3143" s="0" t="s">
        <v>2547</v>
      </c>
      <c r="H3143" s="3">
        <v>60</v>
      </c>
    </row>
    <row r="3144">
      <c r="A3144" s="0" t="s">
        <v>5699</v>
      </c>
      <c r="B3144" s="0" t="s">
        <v>5700</v>
      </c>
      <c r="C3144" s="5">
        <f>=HYPERLINK("https://nusmods.com/modules/RE4804#timetable","Timetable")</f>
      </c>
      <c r="D3144" s="5"/>
      <c r="E3144" s="5">
        <f>=HYPERLINK("https://luminus.nus.edu.sg/modules/49803f44-6157-491a-ab35-0471d179cc35","LumiNUS course site")</f>
      </c>
      <c r="F3144" s="0" t="s">
        <v>28</v>
      </c>
      <c r="G3144" s="0" t="s">
        <v>2547</v>
      </c>
      <c r="H3144" s="3">
        <v>38</v>
      </c>
    </row>
    <row r="3145">
      <c r="A3145" s="0" t="s">
        <v>5701</v>
      </c>
      <c r="B3145" s="0" t="s">
        <v>17</v>
      </c>
      <c r="C3145" s="5">
        <f>=HYPERLINK("https://nusmods.com/modules/RE5000#timetable","Timetable")</f>
      </c>
      <c r="D3145" s="5"/>
      <c r="E3145" s="5"/>
      <c r="F3145" s="0" t="s">
        <v>28</v>
      </c>
      <c r="G3145" s="0" t="s">
        <v>2547</v>
      </c>
      <c r="H3145" s="3">
        <v>1</v>
      </c>
    </row>
    <row r="3146">
      <c r="A3146" s="0" t="s">
        <v>5702</v>
      </c>
      <c r="B3146" s="0" t="s">
        <v>5690</v>
      </c>
      <c r="C3146" s="5">
        <f>=HYPERLINK("https://nusmods.com/modules/RE5001#timetable","Timetable")</f>
      </c>
      <c r="D3146" s="5">
        <f>=HYPERLINK("https://canvas.nus.edu.sg/courses/24760","Canvas course site")</f>
      </c>
      <c r="E3146" s="5"/>
      <c r="F3146" s="0" t="s">
        <v>28</v>
      </c>
      <c r="G3146" s="0" t="s">
        <v>2547</v>
      </c>
      <c r="H3146" s="3">
        <v>38</v>
      </c>
    </row>
    <row r="3147">
      <c r="A3147" s="0" t="s">
        <v>5703</v>
      </c>
      <c r="B3147" s="0" t="s">
        <v>5704</v>
      </c>
      <c r="C3147" s="5">
        <f>=HYPERLINK("https://nusmods.com/modules/RE5004#timetable","Timetable")</f>
      </c>
      <c r="D3147" s="5"/>
      <c r="E3147" s="5">
        <f>=HYPERLINK("https://luminus.nus.edu.sg/modules/7278a855-dbf1-4965-ab09-b29789acbf1e","LumiNUS course site")</f>
      </c>
      <c r="F3147" s="0" t="s">
        <v>28</v>
      </c>
      <c r="G3147" s="0" t="s">
        <v>2547</v>
      </c>
      <c r="H3147" s="3">
        <v>41</v>
      </c>
    </row>
    <row r="3148">
      <c r="A3148" s="0" t="s">
        <v>5705</v>
      </c>
      <c r="B3148" s="0" t="s">
        <v>5706</v>
      </c>
      <c r="C3148" s="5">
        <f>=HYPERLINK("https://nusmods.com/modules/RE5009#timetable","Timetable")</f>
      </c>
      <c r="D3148" s="5">
        <f>=HYPERLINK("https://canvas.nus.edu.sg/courses/24770","Canvas course site")</f>
      </c>
      <c r="E3148" s="5"/>
      <c r="F3148" s="0" t="s">
        <v>28</v>
      </c>
      <c r="G3148" s="0" t="s">
        <v>2547</v>
      </c>
      <c r="H3148" s="3">
        <v>56</v>
      </c>
    </row>
    <row r="3149">
      <c r="A3149" s="0" t="s">
        <v>5707</v>
      </c>
      <c r="B3149" s="0" t="s">
        <v>5708</v>
      </c>
      <c r="C3149" s="5">
        <f>=HYPERLINK("https://nusmods.com/modules/RE5013#timetable","Timetable")</f>
      </c>
      <c r="D3149" s="5"/>
      <c r="E3149" s="5">
        <f>=HYPERLINK("https://luminus.nus.edu.sg/modules/63ec2fe1-be12-47e0-875d-621a8051bf05","LumiNUS course site")</f>
      </c>
      <c r="F3149" s="0" t="s">
        <v>28</v>
      </c>
      <c r="G3149" s="0" t="s">
        <v>2547</v>
      </c>
      <c r="H3149" s="3">
        <v>26</v>
      </c>
    </row>
    <row r="3150">
      <c r="A3150" s="0" t="s">
        <v>5709</v>
      </c>
      <c r="B3150" s="0" t="s">
        <v>5710</v>
      </c>
      <c r="C3150" s="5">
        <f>=HYPERLINK("https://nusmods.com/modules/RE5014#timetable","Timetable")</f>
      </c>
      <c r="D3150" s="5"/>
      <c r="E3150" s="5">
        <f>=HYPERLINK("https://luminus.nus.edu.sg/modules/d7f7a762-2922-491b-8c46-564651ded313","LumiNUS course site")</f>
      </c>
      <c r="F3150" s="0" t="s">
        <v>28</v>
      </c>
      <c r="G3150" s="0" t="s">
        <v>2547</v>
      </c>
      <c r="H3150" s="3">
        <v>43</v>
      </c>
    </row>
    <row r="3151">
      <c r="A3151" s="0" t="s">
        <v>5711</v>
      </c>
      <c r="B3151" s="0" t="s">
        <v>5712</v>
      </c>
      <c r="C3151" s="5">
        <f>=HYPERLINK("https://nusmods.com/modules/RE5015#timetable","Timetable")</f>
      </c>
      <c r="D3151" s="5"/>
      <c r="E3151" s="5">
        <f>=HYPERLINK("https://luminus.nus.edu.sg/modules/52da1f82-c4c8-4e95-a059-b311995fd4e8","LumiNUS course site")</f>
      </c>
      <c r="F3151" s="0" t="s">
        <v>28</v>
      </c>
      <c r="G3151" s="0" t="s">
        <v>2547</v>
      </c>
      <c r="H3151" s="3">
        <v>16</v>
      </c>
    </row>
    <row r="3152">
      <c r="A3152" s="0" t="s">
        <v>5713</v>
      </c>
      <c r="B3152" s="0" t="s">
        <v>5714</v>
      </c>
      <c r="C3152" s="5">
        <f>=HYPERLINK("https://nusmods.com/modules/RE6004#timetable","Timetable")</f>
      </c>
      <c r="D3152" s="5">
        <f>=HYPERLINK("https://canvas.nus.edu.sg/courses/24801","Canvas course site")</f>
      </c>
      <c r="E3152" s="5"/>
      <c r="F3152" s="0" t="s">
        <v>28</v>
      </c>
      <c r="G3152" s="0" t="s">
        <v>2547</v>
      </c>
      <c r="H3152" s="3">
        <v>2</v>
      </c>
    </row>
    <row r="3153">
      <c r="A3153" s="0" t="s">
        <v>5715</v>
      </c>
      <c r="B3153" s="0" t="s">
        <v>5716</v>
      </c>
      <c r="C3153" s="5">
        <f>=HYPERLINK("https://nusmods.com/modules/RVC1000#timetable","Timetable")</f>
      </c>
      <c r="D3153" s="5"/>
      <c r="E3153" s="5">
        <f>=HYPERLINK("https://luminus.nus.edu.sg/modules/dde6bd10-c2c5-4250-b0d8-e2e14e3ce4ad","LumiNUS course site")</f>
      </c>
      <c r="F3153" s="0" t="s">
        <v>1532</v>
      </c>
      <c r="G3153" s="0" t="s">
        <v>1533</v>
      </c>
      <c r="H3153" s="3">
        <v>143</v>
      </c>
    </row>
    <row r="3154">
      <c r="A3154" s="0" t="s">
        <v>5717</v>
      </c>
      <c r="B3154" s="0" t="s">
        <v>5718</v>
      </c>
      <c r="C3154" s="5">
        <f>=HYPERLINK("https://nusmods.com/modules/RVN1000#timetable","Timetable")</f>
      </c>
      <c r="D3154" s="5">
        <f>=HYPERLINK("https://canvas.nus.edu.sg/courses/24818","Canvas course site")</f>
      </c>
      <c r="E3154" s="5"/>
      <c r="F3154" s="0" t="s">
        <v>1532</v>
      </c>
      <c r="G3154" s="0" t="s">
        <v>1533</v>
      </c>
      <c r="H3154" s="3">
        <v>26</v>
      </c>
    </row>
    <row r="3155">
      <c r="A3155" s="0" t="s">
        <v>5719</v>
      </c>
      <c r="B3155" s="0" t="s">
        <v>5720</v>
      </c>
      <c r="C3155" s="5">
        <f>=HYPERLINK("https://nusmods.com/modules/RVN1001#timetable","Timetable")</f>
      </c>
      <c r="D3155" s="5">
        <f>=HYPERLINK("https://canvas.nus.edu.sg/courses/26939","Canvas course site")</f>
      </c>
      <c r="E3155" s="5"/>
      <c r="F3155" s="0" t="s">
        <v>1532</v>
      </c>
      <c r="G3155" s="0" t="s">
        <v>1533</v>
      </c>
      <c r="H3155" s="3">
        <v>68</v>
      </c>
    </row>
    <row r="3156">
      <c r="A3156" s="0" t="s">
        <v>5721</v>
      </c>
      <c r="B3156" s="0" t="s">
        <v>5722</v>
      </c>
      <c r="C3156" s="5">
        <f>=HYPERLINK("https://nusmods.com/modules/RVSS1001#timetable","Timetable")</f>
      </c>
      <c r="D3156" s="5"/>
      <c r="E3156" s="5">
        <f>=HYPERLINK("https://luminus.nus.edu.sg/modules/6e841e42-142f-400c-9542-61544a391ffa","LumiNUS course site")</f>
      </c>
      <c r="F3156" s="0" t="s">
        <v>1532</v>
      </c>
      <c r="G3156" s="0" t="s">
        <v>1533</v>
      </c>
      <c r="H3156" s="3">
        <v>49</v>
      </c>
    </row>
    <row r="3157">
      <c r="A3157" s="0" t="s">
        <v>5723</v>
      </c>
      <c r="B3157" s="0" t="s">
        <v>5724</v>
      </c>
      <c r="C3157" s="5">
        <f>=HYPERLINK("https://nusmods.com/modules/RVSS1002#timetable","Timetable")</f>
      </c>
      <c r="D3157" s="5">
        <f>=HYPERLINK("https://canvas.nus.edu.sg/courses/24823","Canvas course site")</f>
      </c>
      <c r="E3157" s="5"/>
      <c r="F3157" s="0" t="s">
        <v>1532</v>
      </c>
      <c r="G3157" s="0" t="s">
        <v>1533</v>
      </c>
      <c r="H3157" s="3">
        <v>124</v>
      </c>
    </row>
    <row r="3158">
      <c r="A3158" s="0" t="s">
        <v>5725</v>
      </c>
      <c r="B3158" s="0" t="s">
        <v>5726</v>
      </c>
      <c r="C3158" s="5">
        <f>=HYPERLINK("https://nusmods.com/modules/RVX1000#timetable","Timetable")</f>
      </c>
      <c r="D3158" s="5">
        <f>=HYPERLINK("https://canvas.nus.edu.sg/courses/24828","Canvas course site")</f>
      </c>
      <c r="E3158" s="5"/>
      <c r="F3158" s="0" t="s">
        <v>926</v>
      </c>
      <c r="G3158" s="0" t="s">
        <v>1288</v>
      </c>
      <c r="H3158" s="3">
        <v>32</v>
      </c>
    </row>
    <row r="3159">
      <c r="A3159" s="0" t="s">
        <v>5727</v>
      </c>
      <c r="B3159" s="0" t="s">
        <v>5728</v>
      </c>
      <c r="C3159" s="5">
        <f>=HYPERLINK("https://nusmods.com/modules/RVX1001#timetable","Timetable")</f>
      </c>
      <c r="D3159" s="5">
        <f>=HYPERLINK("https://canvas.nus.edu.sg/courses/24834","Canvas course site")</f>
      </c>
      <c r="E3159" s="5">
        <f>=HYPERLINK("https://luminus.nus.edu.sg/modules/e20cbd67-508d-4c64-a8f9-d07151554f6c","LumiNUS course site")</f>
      </c>
      <c r="F3159" s="0" t="s">
        <v>926</v>
      </c>
      <c r="G3159" s="0" t="s">
        <v>1288</v>
      </c>
      <c r="H3159" s="3">
        <v>51</v>
      </c>
    </row>
    <row r="3160">
      <c r="A3160" s="0" t="s">
        <v>5729</v>
      </c>
      <c r="B3160" s="0" t="s">
        <v>5730</v>
      </c>
      <c r="C3160" s="5">
        <f>=HYPERLINK("https://nusmods.com/modules/RVX1002#timetable","Timetable")</f>
      </c>
      <c r="D3160" s="5">
        <f>=HYPERLINK("https://canvas.nus.edu.sg/courses/24839","Canvas course site")</f>
      </c>
      <c r="E3160" s="5"/>
      <c r="F3160" s="0" t="s">
        <v>926</v>
      </c>
      <c r="G3160" s="0" t="s">
        <v>1288</v>
      </c>
      <c r="H3160" s="3">
        <v>47</v>
      </c>
    </row>
    <row r="3161">
      <c r="A3161" s="0" t="s">
        <v>5731</v>
      </c>
      <c r="B3161" s="0" t="s">
        <v>5732</v>
      </c>
      <c r="C3161" s="5">
        <f>=HYPERLINK("https://nusmods.com/modules/SA4101#timetable","Timetable")</f>
      </c>
      <c r="D3161" s="5"/>
      <c r="E3161" s="5">
        <f>=HYPERLINK("https://luminus.nus.edu.sg/modules/ef5268e2-fb52-4518-86da-b75150fc98a5","LumiNUS course site")</f>
      </c>
      <c r="F3161" s="0" t="s">
        <v>1501</v>
      </c>
      <c r="G3161" s="0" t="s">
        <v>1501</v>
      </c>
      <c r="H3161" s="3">
        <v>46</v>
      </c>
    </row>
    <row r="3162">
      <c r="A3162" s="0" t="s">
        <v>5733</v>
      </c>
      <c r="B3162" s="0" t="s">
        <v>5732</v>
      </c>
      <c r="C3162" s="5">
        <f>=HYPERLINK("https://nusmods.com/modules/SA4101C#timetable","Timetable")</f>
      </c>
      <c r="D3162" s="5"/>
      <c r="E3162" s="5"/>
      <c r="F3162" s="0" t="s">
        <v>1501</v>
      </c>
      <c r="G3162" s="0" t="s">
        <v>1501</v>
      </c>
      <c r="H3162" s="3">
        <v>9</v>
      </c>
    </row>
    <row r="3163">
      <c r="A3163" s="0" t="s">
        <v>5734</v>
      </c>
      <c r="B3163" s="0" t="s">
        <v>5735</v>
      </c>
      <c r="C3163" s="5">
        <f>=HYPERLINK("https://nusmods.com/modules/SA4102#timetable","Timetable")</f>
      </c>
      <c r="D3163" s="5"/>
      <c r="E3163" s="5">
        <f>=HYPERLINK("https://luminus.nus.edu.sg/modules/e0ecef02-5040-46d2-b8b9-7341644fd403","LumiNUS course site")</f>
      </c>
      <c r="F3163" s="0" t="s">
        <v>1501</v>
      </c>
      <c r="G3163" s="0" t="s">
        <v>1501</v>
      </c>
      <c r="H3163" s="3">
        <v>46</v>
      </c>
    </row>
    <row r="3164">
      <c r="A3164" s="0" t="s">
        <v>5736</v>
      </c>
      <c r="B3164" s="0" t="s">
        <v>5735</v>
      </c>
      <c r="C3164" s="5">
        <f>=HYPERLINK("https://nusmods.com/modules/SA4102C#timetable","Timetable")</f>
      </c>
      <c r="D3164" s="5"/>
      <c r="E3164" s="5"/>
      <c r="F3164" s="0" t="s">
        <v>1501</v>
      </c>
      <c r="G3164" s="0" t="s">
        <v>1501</v>
      </c>
      <c r="H3164" s="3">
        <v>9</v>
      </c>
    </row>
    <row r="3165">
      <c r="A3165" s="0" t="s">
        <v>5737</v>
      </c>
      <c r="B3165" s="0" t="s">
        <v>5738</v>
      </c>
      <c r="C3165" s="5">
        <f>=HYPERLINK("https://nusmods.com/modules/SA4104#timetable","Timetable")</f>
      </c>
      <c r="D3165" s="5"/>
      <c r="E3165" s="5"/>
      <c r="F3165" s="0" t="s">
        <v>1501</v>
      </c>
      <c r="G3165" s="0" t="s">
        <v>1501</v>
      </c>
      <c r="H3165" s="3">
        <v>0</v>
      </c>
    </row>
    <row r="3166">
      <c r="A3166" s="0" t="s">
        <v>5739</v>
      </c>
      <c r="B3166" s="0" t="s">
        <v>5740</v>
      </c>
      <c r="C3166" s="5">
        <f>=HYPERLINK("https://nusmods.com/modules/SA4105#timetable","Timetable")</f>
      </c>
      <c r="D3166" s="5"/>
      <c r="E3166" s="5"/>
      <c r="F3166" s="0" t="s">
        <v>1501</v>
      </c>
      <c r="G3166" s="0" t="s">
        <v>1501</v>
      </c>
      <c r="H3166" s="3">
        <v>47</v>
      </c>
    </row>
    <row r="3167">
      <c r="A3167" s="0" t="s">
        <v>5741</v>
      </c>
      <c r="B3167" s="0" t="s">
        <v>5742</v>
      </c>
      <c r="C3167" s="5">
        <f>=HYPERLINK("https://nusmods.com/modules/SA4106#timetable","Timetable")</f>
      </c>
      <c r="D3167" s="5"/>
      <c r="E3167" s="5">
        <f>=HYPERLINK("https://luminus.nus.edu.sg/modules/8b29827d-bfd2-4a40-b227-c83e648e26be","LumiNUS course site")</f>
      </c>
      <c r="F3167" s="0" t="s">
        <v>1501</v>
      </c>
      <c r="G3167" s="0" t="s">
        <v>1501</v>
      </c>
      <c r="H3167" s="3">
        <v>45</v>
      </c>
    </row>
    <row r="3168">
      <c r="A3168" s="0" t="s">
        <v>5743</v>
      </c>
      <c r="B3168" s="0" t="s">
        <v>5744</v>
      </c>
      <c r="C3168" s="5">
        <f>=HYPERLINK("https://nusmods.com/modules/SA4107#timetable","Timetable")</f>
      </c>
      <c r="D3168" s="5">
        <f>=HYPERLINK("https://canvas.nus.edu.sg/courses/26763","Canvas course site")</f>
      </c>
      <c r="E3168" s="5"/>
      <c r="F3168" s="0" t="s">
        <v>1501</v>
      </c>
      <c r="G3168" s="0" t="s">
        <v>1501</v>
      </c>
      <c r="H3168" s="3">
        <v>43</v>
      </c>
    </row>
    <row r="3169">
      <c r="A3169" s="0" t="s">
        <v>5745</v>
      </c>
      <c r="B3169" s="0" t="s">
        <v>5746</v>
      </c>
      <c r="C3169" s="5">
        <f>=HYPERLINK("https://nusmods.com/modules/SA4108#timetable","Timetable")</f>
      </c>
      <c r="D3169" s="5"/>
      <c r="E3169" s="5"/>
      <c r="F3169" s="0" t="s">
        <v>1501</v>
      </c>
      <c r="G3169" s="0" t="s">
        <v>1501</v>
      </c>
      <c r="H3169" s="3">
        <v>47</v>
      </c>
    </row>
    <row r="3170">
      <c r="A3170" s="0" t="s">
        <v>5747</v>
      </c>
      <c r="B3170" s="0" t="s">
        <v>5748</v>
      </c>
      <c r="C3170" s="5">
        <f>=HYPERLINK("https://nusmods.com/modules/SA4110#timetable","Timetable")</f>
      </c>
      <c r="D3170" s="5"/>
      <c r="E3170" s="5">
        <f>=HYPERLINK("https://luminus.nus.edu.sg/modules/8706bdcc-7ebb-4ef6-92cd-0548e60ed887","LumiNUS course site")</f>
      </c>
      <c r="F3170" s="0" t="s">
        <v>1501</v>
      </c>
      <c r="G3170" s="0" t="s">
        <v>1501</v>
      </c>
      <c r="H3170" s="3">
        <v>47</v>
      </c>
    </row>
    <row r="3171">
      <c r="A3171" s="0" t="s">
        <v>5749</v>
      </c>
      <c r="B3171" s="0" t="s">
        <v>5750</v>
      </c>
      <c r="C3171" s="5">
        <f>=HYPERLINK("https://nusmods.com/modules/SC1101E#timetable","Timetable")</f>
      </c>
      <c r="D3171" s="5"/>
      <c r="E3171" s="5">
        <f>=HYPERLINK("https://luminus.nus.edu.sg/modules/f5b765fc-7c25-4fd5-ad30-95ab056429b0","LumiNUS course site")</f>
      </c>
      <c r="F3171" s="0" t="s">
        <v>73</v>
      </c>
      <c r="G3171" s="0" t="s">
        <v>94</v>
      </c>
      <c r="H3171" s="3">
        <v>142</v>
      </c>
    </row>
    <row r="3172">
      <c r="A3172" s="0" t="s">
        <v>5751</v>
      </c>
      <c r="B3172" s="0" t="s">
        <v>5752</v>
      </c>
      <c r="C3172" s="5">
        <f>=HYPERLINK("https://nusmods.com/modules/SC2204#timetable","Timetable")</f>
      </c>
      <c r="D3172" s="5"/>
      <c r="E3172" s="5">
        <f>=HYPERLINK("https://luminus.nus.edu.sg/modules/b5aed808-8d00-48fd-a266-2cabe5776974","LumiNUS course site")</f>
      </c>
      <c r="F3172" s="0" t="s">
        <v>73</v>
      </c>
      <c r="G3172" s="0" t="s">
        <v>94</v>
      </c>
      <c r="H3172" s="3">
        <v>37</v>
      </c>
    </row>
    <row r="3173">
      <c r="A3173" s="0" t="s">
        <v>5753</v>
      </c>
      <c r="B3173" s="0" t="s">
        <v>5754</v>
      </c>
      <c r="C3173" s="5">
        <f>=HYPERLINK("https://nusmods.com/modules/SC2205#timetable","Timetable")</f>
      </c>
      <c r="D3173" s="5"/>
      <c r="E3173" s="5">
        <f>=HYPERLINK("https://luminus.nus.edu.sg/modules/38ca8b74-06ae-4e44-bed3-fb19903a2304","LumiNUS course site")</f>
      </c>
      <c r="F3173" s="0" t="s">
        <v>73</v>
      </c>
      <c r="G3173" s="0" t="s">
        <v>94</v>
      </c>
      <c r="H3173" s="3">
        <v>40</v>
      </c>
    </row>
    <row r="3174">
      <c r="A3174" s="0" t="s">
        <v>5755</v>
      </c>
      <c r="B3174" s="0" t="s">
        <v>5756</v>
      </c>
      <c r="C3174" s="5">
        <f>=HYPERLINK("https://nusmods.com/modules/SC2208#timetable","Timetable")</f>
      </c>
      <c r="D3174" s="5"/>
      <c r="E3174" s="5">
        <f>=HYPERLINK("https://luminus.nus.edu.sg/modules/13a4d13b-cafa-4dde-916a-1c62855341b9","LumiNUS course site")</f>
      </c>
      <c r="F3174" s="0" t="s">
        <v>73</v>
      </c>
      <c r="G3174" s="0" t="s">
        <v>94</v>
      </c>
      <c r="H3174" s="3">
        <v>18</v>
      </c>
    </row>
    <row r="3175">
      <c r="A3175" s="0" t="s">
        <v>5757</v>
      </c>
      <c r="B3175" s="0" t="s">
        <v>5758</v>
      </c>
      <c r="C3175" s="5">
        <f>=HYPERLINK("https://nusmods.com/modules/SC2209#timetable","Timetable")</f>
      </c>
      <c r="D3175" s="5"/>
      <c r="E3175" s="5">
        <f>=HYPERLINK("https://luminus.nus.edu.sg/modules/e001b448-a0af-45d2-bd05-b8f37600a986","LumiNUS course site")</f>
      </c>
      <c r="F3175" s="0" t="s">
        <v>73</v>
      </c>
      <c r="G3175" s="0" t="s">
        <v>94</v>
      </c>
      <c r="H3175" s="3">
        <v>33</v>
      </c>
    </row>
    <row r="3176">
      <c r="A3176" s="0" t="s">
        <v>5759</v>
      </c>
      <c r="B3176" s="0" t="s">
        <v>5760</v>
      </c>
      <c r="C3176" s="5">
        <f>=HYPERLINK("https://nusmods.com/modules/SC2217#timetable","Timetable")</f>
      </c>
      <c r="D3176" s="5"/>
      <c r="E3176" s="5">
        <f>=HYPERLINK("https://luminus.nus.edu.sg/modules/4bfb99a0-0a86-4a25-b88f-4cf6b6627f79","LumiNUS course site")</f>
      </c>
      <c r="F3176" s="0" t="s">
        <v>73</v>
      </c>
      <c r="G3176" s="0" t="s">
        <v>94</v>
      </c>
      <c r="H3176" s="3">
        <v>30</v>
      </c>
    </row>
    <row r="3177">
      <c r="A3177" s="0" t="s">
        <v>5761</v>
      </c>
      <c r="B3177" s="0" t="s">
        <v>5762</v>
      </c>
      <c r="C3177" s="5">
        <f>=HYPERLINK("https://nusmods.com/modules/SC2220#timetable","Timetable")</f>
      </c>
      <c r="D3177" s="5">
        <f>=HYPERLINK("https://canvas.nus.edu.sg/courses/24866","Canvas course site")</f>
      </c>
      <c r="E3177" s="5">
        <f>=HYPERLINK("https://luminus.nus.edu.sg/modules/afc2c004-5f17-4457-b8eb-50071d2f1d72","LumiNUS course site")</f>
      </c>
      <c r="F3177" s="0" t="s">
        <v>73</v>
      </c>
      <c r="G3177" s="0" t="s">
        <v>94</v>
      </c>
      <c r="H3177" s="3">
        <v>97</v>
      </c>
    </row>
    <row r="3178">
      <c r="A3178" s="0" t="s">
        <v>5763</v>
      </c>
      <c r="B3178" s="0" t="s">
        <v>5764</v>
      </c>
      <c r="C3178" s="5">
        <f>=HYPERLINK("https://nusmods.com/modules/SC2222#timetable","Timetable")</f>
      </c>
      <c r="D3178" s="5"/>
      <c r="E3178" s="5">
        <f>=HYPERLINK("https://luminus.nus.edu.sg/modules/0970c197-2c0f-4e05-a4bf-c41cdc4e2e0a","LumiNUS course site")</f>
      </c>
      <c r="F3178" s="0" t="s">
        <v>73</v>
      </c>
      <c r="G3178" s="0" t="s">
        <v>94</v>
      </c>
      <c r="H3178" s="3">
        <v>27</v>
      </c>
    </row>
    <row r="3179">
      <c r="A3179" s="0" t="s">
        <v>5765</v>
      </c>
      <c r="B3179" s="0" t="s">
        <v>5766</v>
      </c>
      <c r="C3179" s="5">
        <f>=HYPERLINK("https://nusmods.com/modules/SC2225#timetable","Timetable")</f>
      </c>
      <c r="D3179" s="5"/>
      <c r="E3179" s="5">
        <f>=HYPERLINK("https://luminus.nus.edu.sg/modules/91ada44e-2e92-4bf5-895c-a1c03dad3ec5","LumiNUS course site")</f>
      </c>
      <c r="F3179" s="0" t="s">
        <v>73</v>
      </c>
      <c r="G3179" s="0" t="s">
        <v>94</v>
      </c>
      <c r="H3179" s="3">
        <v>23</v>
      </c>
    </row>
    <row r="3180">
      <c r="A3180" s="0" t="s">
        <v>5767</v>
      </c>
      <c r="B3180" s="0" t="s">
        <v>5768</v>
      </c>
      <c r="C3180" s="5">
        <f>=HYPERLINK("https://nusmods.com/modules/SC2227#timetable","Timetable")</f>
      </c>
      <c r="D3180" s="5"/>
      <c r="E3180" s="5">
        <f>=HYPERLINK("https://luminus.nus.edu.sg/modules/a83b4329-6f66-4673-8890-d292963e72d9","LumiNUS course site")</f>
      </c>
      <c r="F3180" s="0" t="s">
        <v>73</v>
      </c>
      <c r="G3180" s="0" t="s">
        <v>94</v>
      </c>
      <c r="H3180" s="3">
        <v>39</v>
      </c>
    </row>
    <row r="3181">
      <c r="A3181" s="0" t="s">
        <v>5769</v>
      </c>
      <c r="B3181" s="0" t="s">
        <v>2214</v>
      </c>
      <c r="C3181" s="5">
        <f>=HYPERLINK("https://nusmods.com/modules/SC3101#timetable","Timetable")</f>
      </c>
      <c r="D3181" s="5"/>
      <c r="E3181" s="5">
        <f>=HYPERLINK("https://luminus.nus.edu.sg/modules/8a1f4d0a-5e00-46d6-a7cc-edb3516951d8","LumiNUS course site")</f>
      </c>
      <c r="F3181" s="0" t="s">
        <v>73</v>
      </c>
      <c r="G3181" s="0" t="s">
        <v>94</v>
      </c>
      <c r="H3181" s="3">
        <v>80</v>
      </c>
    </row>
    <row r="3182">
      <c r="A3182" s="0" t="s">
        <v>5770</v>
      </c>
      <c r="B3182" s="0" t="s">
        <v>5771</v>
      </c>
      <c r="C3182" s="5">
        <f>=HYPERLINK("https://nusmods.com/modules/SC3203#timetable","Timetable")</f>
      </c>
      <c r="D3182" s="5"/>
      <c r="E3182" s="5">
        <f>=HYPERLINK("https://luminus.nus.edu.sg/modules/d6bbc051-7273-43e6-8cc8-f7cb0b1fdead","LumiNUS course site")</f>
      </c>
      <c r="F3182" s="0" t="s">
        <v>73</v>
      </c>
      <c r="G3182" s="0" t="s">
        <v>94</v>
      </c>
      <c r="H3182" s="3">
        <v>26</v>
      </c>
    </row>
    <row r="3183">
      <c r="A3183" s="0" t="s">
        <v>5772</v>
      </c>
      <c r="B3183" s="0" t="s">
        <v>5773</v>
      </c>
      <c r="C3183" s="5">
        <f>=HYPERLINK("https://nusmods.com/modules/SC3204#timetable","Timetable")</f>
      </c>
      <c r="D3183" s="5"/>
      <c r="E3183" s="5">
        <f>=HYPERLINK("https://luminus.nus.edu.sg/modules/6d9c1b4c-b349-4ebc-a599-4dcd140a8e5c","LumiNUS course site")</f>
      </c>
      <c r="F3183" s="0" t="s">
        <v>73</v>
      </c>
      <c r="G3183" s="0" t="s">
        <v>94</v>
      </c>
      <c r="H3183" s="3">
        <v>36</v>
      </c>
    </row>
    <row r="3184">
      <c r="A3184" s="0" t="s">
        <v>5774</v>
      </c>
      <c r="B3184" s="0" t="s">
        <v>5775</v>
      </c>
      <c r="C3184" s="5">
        <f>=HYPERLINK("https://nusmods.com/modules/SC3206#timetable","Timetable")</f>
      </c>
      <c r="D3184" s="5"/>
      <c r="E3184" s="5">
        <f>=HYPERLINK("https://luminus.nus.edu.sg/modules/dcfc1169-d95d-43a9-b055-04fdbcf7b35a","LumiNUS course site")</f>
      </c>
      <c r="F3184" s="0" t="s">
        <v>73</v>
      </c>
      <c r="G3184" s="0" t="s">
        <v>94</v>
      </c>
      <c r="H3184" s="3">
        <v>31</v>
      </c>
    </row>
    <row r="3185">
      <c r="A3185" s="0" t="s">
        <v>5776</v>
      </c>
      <c r="B3185" s="0" t="s">
        <v>5777</v>
      </c>
      <c r="C3185" s="5">
        <f>=HYPERLINK("https://nusmods.com/modules/SC3207#timetable","Timetable")</f>
      </c>
      <c r="D3185" s="5"/>
      <c r="E3185" s="5">
        <f>=HYPERLINK("https://luminus.nus.edu.sg/modules/400e1374-3028-47b3-83d1-10cd5dd21ce2","LumiNUS course site")</f>
      </c>
      <c r="F3185" s="0" t="s">
        <v>73</v>
      </c>
      <c r="G3185" s="0" t="s">
        <v>94</v>
      </c>
      <c r="H3185" s="3">
        <v>31</v>
      </c>
    </row>
    <row r="3186">
      <c r="A3186" s="0" t="s">
        <v>5778</v>
      </c>
      <c r="B3186" s="0" t="s">
        <v>5779</v>
      </c>
      <c r="C3186" s="5">
        <f>=HYPERLINK("https://nusmods.com/modules/SC3209#timetable","Timetable")</f>
      </c>
      <c r="D3186" s="5"/>
      <c r="E3186" s="5">
        <f>=HYPERLINK("https://luminus.nus.edu.sg/modules/22361762-d2bb-4d5f-9529-355d2be67bb5","LumiNUS course site")</f>
      </c>
      <c r="F3186" s="0" t="s">
        <v>73</v>
      </c>
      <c r="G3186" s="0" t="s">
        <v>94</v>
      </c>
      <c r="H3186" s="3">
        <v>21</v>
      </c>
    </row>
    <row r="3187">
      <c r="A3187" s="0" t="s">
        <v>5780</v>
      </c>
      <c r="B3187" s="0" t="s">
        <v>5781</v>
      </c>
      <c r="C3187" s="5">
        <f>=HYPERLINK("https://nusmods.com/modules/SC3211#timetable","Timetable")</f>
      </c>
      <c r="D3187" s="5"/>
      <c r="E3187" s="5">
        <f>=HYPERLINK("https://luminus.nus.edu.sg/modules/0f1f99f8-7847-4406-934a-5bc48106e910","LumiNUS course site")</f>
      </c>
      <c r="F3187" s="0" t="s">
        <v>73</v>
      </c>
      <c r="G3187" s="0" t="s">
        <v>94</v>
      </c>
      <c r="H3187" s="3">
        <v>18</v>
      </c>
    </row>
    <row r="3188">
      <c r="A3188" s="0" t="s">
        <v>5782</v>
      </c>
      <c r="B3188" s="0" t="s">
        <v>5783</v>
      </c>
      <c r="C3188" s="5">
        <f>=HYPERLINK("https://nusmods.com/modules/SC3212#timetable","Timetable")</f>
      </c>
      <c r="D3188" s="5"/>
      <c r="E3188" s="5">
        <f>=HYPERLINK("https://luminus.nus.edu.sg/modules/3b3564b5-0f28-45de-b40e-f82ef7209ec4","LumiNUS course site")</f>
      </c>
      <c r="F3188" s="0" t="s">
        <v>73</v>
      </c>
      <c r="G3188" s="0" t="s">
        <v>94</v>
      </c>
      <c r="H3188" s="3">
        <v>6</v>
      </c>
    </row>
    <row r="3189">
      <c r="A3189" s="0" t="s">
        <v>5784</v>
      </c>
      <c r="B3189" s="0" t="s">
        <v>5785</v>
      </c>
      <c r="C3189" s="5">
        <f>=HYPERLINK("https://nusmods.com/modules/SC3213#timetable","Timetable")</f>
      </c>
      <c r="D3189" s="5"/>
      <c r="E3189" s="5">
        <f>=HYPERLINK("https://luminus.nus.edu.sg/modules/d7ee30a6-3858-4785-b802-57560e91e3a2","LumiNUS course site")</f>
      </c>
      <c r="F3189" s="0" t="s">
        <v>73</v>
      </c>
      <c r="G3189" s="0" t="s">
        <v>94</v>
      </c>
      <c r="H3189" s="3">
        <v>76</v>
      </c>
    </row>
    <row r="3190">
      <c r="A3190" s="0" t="s">
        <v>5786</v>
      </c>
      <c r="B3190" s="0" t="s">
        <v>5787</v>
      </c>
      <c r="C3190" s="5">
        <f>=HYPERLINK("https://nusmods.com/modules/SC3216#timetable","Timetable")</f>
      </c>
      <c r="D3190" s="5">
        <f>=HYPERLINK("https://canvas.nus.edu.sg/courses/25091","Canvas course site")</f>
      </c>
      <c r="E3190" s="5">
        <f>=HYPERLINK("https://luminus.nus.edu.sg/modules/67004d5b-aa2e-4c18-b3ce-e0375e93301c","LumiNUS course site")</f>
      </c>
      <c r="F3190" s="0" t="s">
        <v>73</v>
      </c>
      <c r="G3190" s="0" t="s">
        <v>94</v>
      </c>
      <c r="H3190" s="3">
        <v>30</v>
      </c>
    </row>
    <row r="3191">
      <c r="A3191" s="0" t="s">
        <v>5788</v>
      </c>
      <c r="B3191" s="0" t="s">
        <v>5789</v>
      </c>
      <c r="C3191" s="5">
        <f>=HYPERLINK("https://nusmods.com/modules/SC3223#timetable","Timetable")</f>
      </c>
      <c r="D3191" s="5"/>
      <c r="E3191" s="5">
        <f>=HYPERLINK("https://luminus.nus.edu.sg/modules/58ae943a-172f-45f2-a178-0387cacc4b66","LumiNUS course site")</f>
      </c>
      <c r="F3191" s="0" t="s">
        <v>73</v>
      </c>
      <c r="G3191" s="0" t="s">
        <v>94</v>
      </c>
      <c r="H3191" s="3">
        <v>22</v>
      </c>
    </row>
    <row r="3192">
      <c r="A3192" s="0" t="s">
        <v>5790</v>
      </c>
      <c r="B3192" s="0" t="s">
        <v>5791</v>
      </c>
      <c r="C3192" s="5">
        <f>=HYPERLINK("https://nusmods.com/modules/SC3227#timetable","Timetable")</f>
      </c>
      <c r="D3192" s="5"/>
      <c r="E3192" s="5">
        <f>=HYPERLINK("https://luminus.nus.edu.sg/modules/9b2f1fbd-47b0-4c82-bb95-0c947b52f134","LumiNUS course site")</f>
      </c>
      <c r="F3192" s="0" t="s">
        <v>73</v>
      </c>
      <c r="G3192" s="0" t="s">
        <v>94</v>
      </c>
      <c r="H3192" s="3">
        <v>8</v>
      </c>
    </row>
    <row r="3193">
      <c r="A3193" s="0" t="s">
        <v>5792</v>
      </c>
      <c r="B3193" s="0" t="s">
        <v>5793</v>
      </c>
      <c r="C3193" s="5">
        <f>=HYPERLINK("https://nusmods.com/modules/SC3228#timetable","Timetable")</f>
      </c>
      <c r="D3193" s="5"/>
      <c r="E3193" s="5">
        <f>=HYPERLINK("https://luminus.nus.edu.sg/modules/61a7c2b5-8e03-417e-8d17-826ad2665337","LumiNUS course site")</f>
      </c>
      <c r="F3193" s="0" t="s">
        <v>73</v>
      </c>
      <c r="G3193" s="0" t="s">
        <v>94</v>
      </c>
      <c r="H3193" s="3">
        <v>8</v>
      </c>
    </row>
    <row r="3194">
      <c r="A3194" s="0" t="s">
        <v>5794</v>
      </c>
      <c r="B3194" s="0" t="s">
        <v>5795</v>
      </c>
      <c r="C3194" s="5">
        <f>=HYPERLINK("https://nusmods.com/modules/SC3229#timetable","Timetable")</f>
      </c>
      <c r="D3194" s="5"/>
      <c r="E3194" s="5">
        <f>=HYPERLINK("https://luminus.nus.edu.sg/modules/de37f98f-8974-4ac9-9b4a-3658cdcf7c65","LumiNUS course site")</f>
      </c>
      <c r="F3194" s="0" t="s">
        <v>73</v>
      </c>
      <c r="G3194" s="0" t="s">
        <v>94</v>
      </c>
      <c r="H3194" s="3">
        <v>33</v>
      </c>
    </row>
    <row r="3195">
      <c r="A3195" s="0" t="s">
        <v>5796</v>
      </c>
      <c r="B3195" s="0" t="s">
        <v>1773</v>
      </c>
      <c r="C3195" s="5">
        <f>=HYPERLINK("https://nusmods.com/modules/SC3551#timetable","Timetable")</f>
      </c>
      <c r="D3195" s="5"/>
      <c r="E3195" s="5"/>
      <c r="F3195" s="0" t="s">
        <v>73</v>
      </c>
      <c r="G3195" s="0" t="s">
        <v>94</v>
      </c>
      <c r="H3195" s="3">
        <v>1</v>
      </c>
    </row>
    <row r="3196">
      <c r="A3196" s="0" t="s">
        <v>5797</v>
      </c>
      <c r="B3196" s="0" t="s">
        <v>5798</v>
      </c>
      <c r="C3196" s="5">
        <f>=HYPERLINK("https://nusmods.com/modules/SC4101#timetable","Timetable")</f>
      </c>
      <c r="D3196" s="5">
        <f>=HYPERLINK("https://canvas.nus.edu.sg/courses/24208","Canvas course site")</f>
      </c>
      <c r="E3196" s="5">
        <f>=HYPERLINK("https://luminus.nus.edu.sg/modules/5f951017-651e-46f2-85fa-e7b3ecbccf82","LumiNUS course site")</f>
      </c>
      <c r="F3196" s="0" t="s">
        <v>73</v>
      </c>
      <c r="G3196" s="0" t="s">
        <v>94</v>
      </c>
      <c r="H3196" s="3">
        <v>135</v>
      </c>
    </row>
    <row r="3197">
      <c r="A3197" s="0" t="s">
        <v>5799</v>
      </c>
      <c r="B3197" s="0" t="s">
        <v>5800</v>
      </c>
      <c r="C3197" s="5">
        <f>=HYPERLINK("https://nusmods.com/modules/SC4202#timetable","Timetable")</f>
      </c>
      <c r="D3197" s="5"/>
      <c r="E3197" s="5">
        <f>=HYPERLINK("https://luminus.nus.edu.sg/modules/4cd05ca4-b817-4227-acd4-41eae45f4c04","LumiNUS course site")</f>
      </c>
      <c r="F3197" s="0" t="s">
        <v>73</v>
      </c>
      <c r="G3197" s="0" t="s">
        <v>94</v>
      </c>
      <c r="H3197" s="3">
        <v>30</v>
      </c>
    </row>
    <row r="3198">
      <c r="A3198" s="0" t="s">
        <v>5801</v>
      </c>
      <c r="B3198" s="0" t="s">
        <v>5802</v>
      </c>
      <c r="C3198" s="5">
        <f>=HYPERLINK("https://nusmods.com/modules/SC4203#timetable","Timetable")</f>
      </c>
      <c r="D3198" s="5"/>
      <c r="E3198" s="5">
        <f>=HYPERLINK("https://luminus.nus.edu.sg/modules/4c2eab40-0754-4070-8a8d-d1a08158d009","LumiNUS course site")</f>
      </c>
      <c r="F3198" s="0" t="s">
        <v>73</v>
      </c>
      <c r="G3198" s="0" t="s">
        <v>94</v>
      </c>
      <c r="H3198" s="3">
        <v>23</v>
      </c>
    </row>
    <row r="3199">
      <c r="A3199" s="0" t="s">
        <v>5803</v>
      </c>
      <c r="B3199" s="0" t="s">
        <v>5804</v>
      </c>
      <c r="C3199" s="5">
        <f>=HYPERLINK("https://nusmods.com/modules/SC4205#timetable","Timetable")</f>
      </c>
      <c r="D3199" s="5"/>
      <c r="E3199" s="5">
        <f>=HYPERLINK("https://luminus.nus.edu.sg/modules/65044862-9fb5-432f-bf14-42c2f8c91cb8","LumiNUS course site")</f>
      </c>
      <c r="F3199" s="0" t="s">
        <v>73</v>
      </c>
      <c r="G3199" s="0" t="s">
        <v>94</v>
      </c>
      <c r="H3199" s="3">
        <v>33</v>
      </c>
    </row>
    <row r="3200">
      <c r="A3200" s="0" t="s">
        <v>5805</v>
      </c>
      <c r="B3200" s="0" t="s">
        <v>5806</v>
      </c>
      <c r="C3200" s="5">
        <f>=HYPERLINK("https://nusmods.com/modules/SC4211#timetable","Timetable")</f>
      </c>
      <c r="D3200" s="5"/>
      <c r="E3200" s="5">
        <f>=HYPERLINK("https://luminus.nus.edu.sg/modules/3d1165f5-208d-4b48-9616-01606dd495a4","LumiNUS course site")</f>
      </c>
      <c r="F3200" s="0" t="s">
        <v>73</v>
      </c>
      <c r="G3200" s="0" t="s">
        <v>94</v>
      </c>
      <c r="H3200" s="3">
        <v>28</v>
      </c>
    </row>
    <row r="3201">
      <c r="A3201" s="0" t="s">
        <v>5807</v>
      </c>
      <c r="B3201" s="0" t="s">
        <v>5808</v>
      </c>
      <c r="C3201" s="5">
        <f>=HYPERLINK("https://nusmods.com/modules/SC4217#timetable","Timetable")</f>
      </c>
      <c r="D3201" s="5">
        <f>=HYPERLINK("https://canvas.nus.edu.sg/courses/24976","Canvas course site")</f>
      </c>
      <c r="E3201" s="5">
        <f>=HYPERLINK("https://luminus.nus.edu.sg/modules/d7e13ebe-bd1b-4c79-a419-5952fe96f7a2","LumiNUS course site")</f>
      </c>
      <c r="F3201" s="0" t="s">
        <v>73</v>
      </c>
      <c r="G3201" s="0" t="s">
        <v>94</v>
      </c>
      <c r="H3201" s="3">
        <v>37</v>
      </c>
    </row>
    <row r="3202">
      <c r="A3202" s="0" t="s">
        <v>5809</v>
      </c>
      <c r="B3202" s="0" t="s">
        <v>5810</v>
      </c>
      <c r="C3202" s="5">
        <f>=HYPERLINK("https://nusmods.com/modules/SC4218#timetable","Timetable")</f>
      </c>
      <c r="D3202" s="5"/>
      <c r="E3202" s="5">
        <f>=HYPERLINK("https://luminus.nus.edu.sg/modules/4463f6d4-d042-403c-b735-96061864cb14","LumiNUS course site")</f>
      </c>
      <c r="F3202" s="0" t="s">
        <v>73</v>
      </c>
      <c r="G3202" s="0" t="s">
        <v>94</v>
      </c>
      <c r="H3202" s="3">
        <v>6</v>
      </c>
    </row>
    <row r="3203">
      <c r="A3203" s="0" t="s">
        <v>5811</v>
      </c>
      <c r="B3203" s="0" t="s">
        <v>5812</v>
      </c>
      <c r="C3203" s="5">
        <f>=HYPERLINK("https://nusmods.com/modules/SC4219#timetable","Timetable")</f>
      </c>
      <c r="D3203" s="5"/>
      <c r="E3203" s="5">
        <f>=HYPERLINK("https://luminus.nus.edu.sg/modules/e2667f71-1393-4140-9986-3a6fe419dc9f","LumiNUS course site")</f>
      </c>
      <c r="F3203" s="0" t="s">
        <v>73</v>
      </c>
      <c r="G3203" s="0" t="s">
        <v>94</v>
      </c>
      <c r="H3203" s="3">
        <v>39</v>
      </c>
    </row>
    <row r="3204">
      <c r="A3204" s="0" t="s">
        <v>5813</v>
      </c>
      <c r="B3204" s="0" t="s">
        <v>5814</v>
      </c>
      <c r="C3204" s="5">
        <f>=HYPERLINK("https://nusmods.com/modules/SC4220#timetable","Timetable")</f>
      </c>
      <c r="D3204" s="5"/>
      <c r="E3204" s="5">
        <f>=HYPERLINK("https://luminus.nus.edu.sg/modules/5bd31b9e-3633-4346-b03e-bba92edc3aa6","LumiNUS course site")</f>
      </c>
      <c r="F3204" s="0" t="s">
        <v>73</v>
      </c>
      <c r="G3204" s="0" t="s">
        <v>94</v>
      </c>
      <c r="H3204" s="3">
        <v>37</v>
      </c>
    </row>
    <row r="3205">
      <c r="A3205" s="0" t="s">
        <v>5815</v>
      </c>
      <c r="B3205" s="0" t="s">
        <v>5816</v>
      </c>
      <c r="C3205" s="5">
        <f>=HYPERLINK("https://nusmods.com/modules/SC4224#timetable","Timetable")</f>
      </c>
      <c r="D3205" s="5"/>
      <c r="E3205" s="5">
        <f>=HYPERLINK("https://luminus.nus.edu.sg/modules/64aa6794-08df-4d8b-9f10-c597dcf8e247","LumiNUS course site")</f>
      </c>
      <c r="F3205" s="0" t="s">
        <v>73</v>
      </c>
      <c r="G3205" s="0" t="s">
        <v>94</v>
      </c>
      <c r="H3205" s="3">
        <v>24</v>
      </c>
    </row>
    <row r="3206">
      <c r="A3206" s="0" t="s">
        <v>5817</v>
      </c>
      <c r="B3206" s="0" t="s">
        <v>5818</v>
      </c>
      <c r="C3206" s="5">
        <f>=HYPERLINK("https://nusmods.com/modules/SC4228#timetable","Timetable")</f>
      </c>
      <c r="D3206" s="5"/>
      <c r="E3206" s="5">
        <f>=HYPERLINK("https://luminus.nus.edu.sg/modules/c8c978d9-b246-4366-886f-f93ee744d1a6","LumiNUS course site")</f>
      </c>
      <c r="F3206" s="0" t="s">
        <v>73</v>
      </c>
      <c r="G3206" s="0" t="s">
        <v>94</v>
      </c>
      <c r="H3206" s="3">
        <v>35</v>
      </c>
    </row>
    <row r="3207">
      <c r="A3207" s="0" t="s">
        <v>5819</v>
      </c>
      <c r="B3207" s="0" t="s">
        <v>980</v>
      </c>
      <c r="C3207" s="5">
        <f>=HYPERLINK("https://nusmods.com/modules/SC4401#timetable","Timetable")</f>
      </c>
      <c r="D3207" s="5"/>
      <c r="E3207" s="5">
        <f>=HYPERLINK("https://luminus.nus.edu.sg/modules/5776fd4d-ccd5-4c70-9dab-641775d91b56","LumiNUS course site")</f>
      </c>
      <c r="F3207" s="0" t="s">
        <v>73</v>
      </c>
      <c r="G3207" s="0" t="s">
        <v>94</v>
      </c>
      <c r="H3207" s="3">
        <v>29</v>
      </c>
    </row>
    <row r="3208">
      <c r="A3208" s="0" t="s">
        <v>5820</v>
      </c>
      <c r="B3208" s="0" t="s">
        <v>602</v>
      </c>
      <c r="C3208" s="5">
        <f>=HYPERLINK("https://nusmods.com/modules/SC4660#timetable","Timetable")</f>
      </c>
      <c r="D3208" s="5"/>
      <c r="E3208" s="5">
        <f>=HYPERLINK("https://luminus.nus.edu.sg/modules/5b8e8121-5ff5-466c-a580-f3a019d0ed0b","LumiNUS course site")</f>
      </c>
      <c r="F3208" s="0" t="s">
        <v>73</v>
      </c>
      <c r="G3208" s="0" t="s">
        <v>94</v>
      </c>
      <c r="H3208" s="3">
        <v>0</v>
      </c>
    </row>
    <row r="3209">
      <c r="A3209" s="0" t="s">
        <v>5821</v>
      </c>
      <c r="B3209" s="0" t="s">
        <v>5822</v>
      </c>
      <c r="C3209" s="5">
        <f>=HYPERLINK("https://nusmods.com/modules/SC4880C#timetable","Timetable")</f>
      </c>
      <c r="D3209" s="5"/>
      <c r="E3209" s="5">
        <f>=HYPERLINK("https://luminus.nus.edu.sg/modules/497e8a1b-1286-4207-b736-c1f3f96894f5","LumiNUS course site")</f>
      </c>
      <c r="F3209" s="0" t="s">
        <v>73</v>
      </c>
      <c r="G3209" s="0" t="s">
        <v>94</v>
      </c>
      <c r="H3209" s="3">
        <v>38</v>
      </c>
    </row>
    <row r="3210">
      <c r="A3210" s="0" t="s">
        <v>5823</v>
      </c>
      <c r="B3210" s="0" t="s">
        <v>5824</v>
      </c>
      <c r="C3210" s="5">
        <f>=HYPERLINK("https://nusmods.com/modules/SC4881#timetable","Timetable")</f>
      </c>
      <c r="D3210" s="5"/>
      <c r="E3210" s="5">
        <f>=HYPERLINK("https://luminus.nus.edu.sg/modules/bdd05e86-6069-42ab-a50f-2cccc4ea9f93","LumiNUS course site")</f>
      </c>
      <c r="F3210" s="0" t="s">
        <v>73</v>
      </c>
      <c r="G3210" s="0" t="s">
        <v>94</v>
      </c>
      <c r="H3210" s="3">
        <v>23</v>
      </c>
    </row>
    <row r="3211">
      <c r="A3211" s="0" t="s">
        <v>5825</v>
      </c>
      <c r="B3211" s="0" t="s">
        <v>5826</v>
      </c>
      <c r="C3211" s="5">
        <f>=HYPERLINK("https://nusmods.com/modules/SC5101#timetable","Timetable")</f>
      </c>
      <c r="D3211" s="5">
        <f>=HYPERLINK("https://canvas.nus.edu.sg/courses/23749","Canvas course site")</f>
      </c>
      <c r="E3211" s="5">
        <f>=HYPERLINK("https://luminus.nus.edu.sg/modules/5dc8b454-d8f5-471a-808e-d4e17ecbca95","LumiNUS course site")</f>
      </c>
      <c r="F3211" s="0" t="s">
        <v>73</v>
      </c>
      <c r="G3211" s="0" t="s">
        <v>94</v>
      </c>
      <c r="H3211" s="3">
        <v>16</v>
      </c>
    </row>
    <row r="3212">
      <c r="A3212" s="0" t="s">
        <v>5827</v>
      </c>
      <c r="B3212" s="0" t="s">
        <v>5828</v>
      </c>
      <c r="C3212" s="5">
        <f>=HYPERLINK("https://nusmods.com/modules/SC5103#timetable","Timetable")</f>
      </c>
      <c r="D3212" s="5"/>
      <c r="E3212" s="5">
        <f>=HYPERLINK("https://luminus.nus.edu.sg/modules/b83326b1-d5af-4db4-b5bb-6732c5790ff3","LumiNUS course site")</f>
      </c>
      <c r="F3212" s="0" t="s">
        <v>73</v>
      </c>
      <c r="G3212" s="0" t="s">
        <v>94</v>
      </c>
      <c r="H3212" s="3">
        <v>13</v>
      </c>
    </row>
    <row r="3213">
      <c r="A3213" s="0" t="s">
        <v>5829</v>
      </c>
      <c r="B3213" s="0" t="s">
        <v>5828</v>
      </c>
      <c r="C3213" s="5">
        <f>=HYPERLINK("https://nusmods.com/modules/SC5103R#timetable","Timetable")</f>
      </c>
      <c r="D3213" s="5"/>
      <c r="E3213" s="5">
        <f>=HYPERLINK("https://luminus.nus.edu.sg/modules/b83326b1-d5af-4db4-b5bb-6732c5790ff3","LumiNUS course site")</f>
      </c>
      <c r="F3213" s="0" t="s">
        <v>73</v>
      </c>
      <c r="G3213" s="0" t="s">
        <v>94</v>
      </c>
      <c r="H3213" s="3">
        <v>1</v>
      </c>
    </row>
    <row r="3214">
      <c r="A3214" s="0" t="s">
        <v>5830</v>
      </c>
      <c r="B3214" s="0" t="s">
        <v>5831</v>
      </c>
      <c r="C3214" s="5">
        <f>=HYPERLINK("https://nusmods.com/modules/SC5218#timetable","Timetable")</f>
      </c>
      <c r="D3214" s="5"/>
      <c r="E3214" s="5">
        <f>=HYPERLINK("https://luminus.nus.edu.sg/modules/f3f39fba-0ec8-4b9d-91d9-9ec2a8d4cc02","LumiNUS course site")</f>
      </c>
      <c r="F3214" s="0" t="s">
        <v>73</v>
      </c>
      <c r="G3214" s="0" t="s">
        <v>94</v>
      </c>
      <c r="H3214" s="3">
        <v>3</v>
      </c>
    </row>
    <row r="3215">
      <c r="A3215" s="0" t="s">
        <v>5832</v>
      </c>
      <c r="B3215" s="0" t="s">
        <v>5833</v>
      </c>
      <c r="C3215" s="5">
        <f>=HYPERLINK("https://nusmods.com/modules/SC5218R#timetable","Timetable")</f>
      </c>
      <c r="D3215" s="5"/>
      <c r="E3215" s="5">
        <f>=HYPERLINK("https://luminus.nus.edu.sg/modules/f3f39fba-0ec8-4b9d-91d9-9ec2a8d4cc02","LumiNUS course site")</f>
      </c>
      <c r="F3215" s="0" t="s">
        <v>73</v>
      </c>
      <c r="G3215" s="0" t="s">
        <v>94</v>
      </c>
      <c r="H3215" s="3">
        <v>2</v>
      </c>
    </row>
    <row r="3216">
      <c r="A3216" s="0" t="s">
        <v>5834</v>
      </c>
      <c r="B3216" s="0" t="s">
        <v>5835</v>
      </c>
      <c r="C3216" s="5">
        <f>=HYPERLINK("https://nusmods.com/modules/SC5770#timetable","Timetable")</f>
      </c>
      <c r="D3216" s="5"/>
      <c r="E3216" s="5"/>
      <c r="F3216" s="0" t="s">
        <v>73</v>
      </c>
      <c r="G3216" s="0" t="s">
        <v>94</v>
      </c>
      <c r="H3216" s="3">
        <v>0</v>
      </c>
    </row>
    <row r="3217">
      <c r="A3217" s="0" t="s">
        <v>5836</v>
      </c>
      <c r="B3217" s="0" t="s">
        <v>5837</v>
      </c>
      <c r="C3217" s="5">
        <f>=HYPERLINK("https://nusmods.com/modules/SC6212#timetable","Timetable")</f>
      </c>
      <c r="D3217" s="5"/>
      <c r="E3217" s="5">
        <f>=HYPERLINK("https://luminus.nus.edu.sg/modules/2cffac32-7a05-441b-b190-c751a9e2e234","LumiNUS course site")</f>
      </c>
      <c r="F3217" s="0" t="s">
        <v>73</v>
      </c>
      <c r="G3217" s="0" t="s">
        <v>94</v>
      </c>
      <c r="H3217" s="3">
        <v>3</v>
      </c>
    </row>
    <row r="3218">
      <c r="A3218" s="0" t="s">
        <v>5838</v>
      </c>
      <c r="B3218" s="0" t="s">
        <v>5839</v>
      </c>
      <c r="C3218" s="5">
        <f>=HYPERLINK("https://nusmods.com/modules/SC6216#timetable","Timetable")</f>
      </c>
      <c r="D3218" s="5"/>
      <c r="E3218" s="5">
        <f>=HYPERLINK("https://luminus.nus.edu.sg/modules/44453cea-eb4b-4ebe-95f7-e2204929bbb8","LumiNUS course site")</f>
      </c>
      <c r="F3218" s="0" t="s">
        <v>73</v>
      </c>
      <c r="G3218" s="0" t="s">
        <v>94</v>
      </c>
      <c r="H3218" s="3">
        <v>7</v>
      </c>
    </row>
    <row r="3219">
      <c r="A3219" s="0" t="s">
        <v>5840</v>
      </c>
      <c r="B3219" s="0" t="s">
        <v>989</v>
      </c>
      <c r="C3219" s="5">
        <f>=HYPERLINK("https://nusmods.com/modules/SC6660#timetable","Timetable")</f>
      </c>
      <c r="D3219" s="5"/>
      <c r="E3219" s="5"/>
      <c r="F3219" s="0" t="s">
        <v>73</v>
      </c>
      <c r="G3219" s="0" t="s">
        <v>94</v>
      </c>
      <c r="H3219" s="3">
        <v>3</v>
      </c>
    </row>
    <row r="3220">
      <c r="A3220" s="0" t="s">
        <v>5841</v>
      </c>
      <c r="B3220" s="0" t="s">
        <v>995</v>
      </c>
      <c r="C3220" s="5">
        <f>=HYPERLINK("https://nusmods.com/modules/SC6770#timetable","Timetable")</f>
      </c>
      <c r="D3220" s="5"/>
      <c r="E3220" s="5">
        <f>=HYPERLINK("https://luminus.nus.edu.sg/modules/40e6f163-05c7-463b-a77e-cf1818e5e4ef","LumiNUS course site")</f>
      </c>
      <c r="F3220" s="0" t="s">
        <v>73</v>
      </c>
      <c r="G3220" s="0" t="s">
        <v>94</v>
      </c>
      <c r="H3220" s="3">
        <v>4</v>
      </c>
    </row>
    <row r="3221">
      <c r="A3221" s="0" t="s">
        <v>5842</v>
      </c>
      <c r="B3221" s="0" t="s">
        <v>5843</v>
      </c>
      <c r="C3221" s="5">
        <f>=HYPERLINK("https://nusmods.com/modules/SE1101E#timetable","Timetable")</f>
      </c>
      <c r="D3221" s="5"/>
      <c r="E3221" s="5">
        <f>=HYPERLINK("https://luminus.nus.edu.sg/modules/1c22f2c6-6069-4f5a-b4d2-2b85851a8c4a","LumiNUS course site")</f>
      </c>
      <c r="F3221" s="0" t="s">
        <v>73</v>
      </c>
      <c r="G3221" s="0" t="s">
        <v>775</v>
      </c>
      <c r="H3221" s="3">
        <v>78</v>
      </c>
    </row>
    <row r="3222">
      <c r="A3222" s="0" t="s">
        <v>5844</v>
      </c>
      <c r="B3222" s="0" t="s">
        <v>5845</v>
      </c>
      <c r="C3222" s="5">
        <f>=HYPERLINK("https://nusmods.com/modules/SE2224#timetable","Timetable")</f>
      </c>
      <c r="D3222" s="5"/>
      <c r="E3222" s="5">
        <f>=HYPERLINK("https://luminus.nus.edu.sg/modules/c0db66d3-5e0e-41df-94a4-52dc82f10636","LumiNUS course site")</f>
      </c>
      <c r="F3222" s="0" t="s">
        <v>73</v>
      </c>
      <c r="G3222" s="0" t="s">
        <v>775</v>
      </c>
      <c r="H3222" s="3">
        <v>23</v>
      </c>
    </row>
    <row r="3223">
      <c r="A3223" s="0" t="s">
        <v>5846</v>
      </c>
      <c r="B3223" s="0" t="s">
        <v>5847</v>
      </c>
      <c r="C3223" s="5">
        <f>=HYPERLINK("https://nusmods.com/modules/SE3211#timetable","Timetable")</f>
      </c>
      <c r="D3223" s="5"/>
      <c r="E3223" s="5">
        <f>=HYPERLINK("https://luminus.nus.edu.sg/modules/1fd042fd-62ae-4411-92d4-229c54d8cf6b","LumiNUS course site")</f>
      </c>
      <c r="F3223" s="0" t="s">
        <v>73</v>
      </c>
      <c r="G3223" s="0" t="s">
        <v>775</v>
      </c>
      <c r="H3223" s="3">
        <v>32</v>
      </c>
    </row>
    <row r="3224">
      <c r="A3224" s="0" t="s">
        <v>5848</v>
      </c>
      <c r="B3224" s="0" t="s">
        <v>5849</v>
      </c>
      <c r="C3224" s="5">
        <f>=HYPERLINK("https://nusmods.com/modules/SE3232#timetable","Timetable")</f>
      </c>
      <c r="D3224" s="5"/>
      <c r="E3224" s="5">
        <f>=HYPERLINK("https://luminus.nus.edu.sg/modules/06ba48d8-42e7-45d9-831d-5256c2c3bd4e","LumiNUS course site")</f>
      </c>
      <c r="F3224" s="0" t="s">
        <v>73</v>
      </c>
      <c r="G3224" s="0" t="s">
        <v>775</v>
      </c>
      <c r="H3224" s="3">
        <v>34</v>
      </c>
    </row>
    <row r="3225">
      <c r="A3225" s="0" t="s">
        <v>5850</v>
      </c>
      <c r="B3225" s="0" t="s">
        <v>5851</v>
      </c>
      <c r="C3225" s="5">
        <f>=HYPERLINK("https://nusmods.com/modules/SE3550#timetable","Timetable")</f>
      </c>
      <c r="D3225" s="5"/>
      <c r="E3225" s="5"/>
      <c r="F3225" s="0" t="s">
        <v>73</v>
      </c>
      <c r="G3225" s="0" t="s">
        <v>775</v>
      </c>
      <c r="H3225" s="3">
        <v>0</v>
      </c>
    </row>
    <row r="3226">
      <c r="A3226" s="0" t="s">
        <v>5852</v>
      </c>
      <c r="B3226" s="0" t="s">
        <v>5853</v>
      </c>
      <c r="C3226" s="5">
        <f>=HYPERLINK("https://nusmods.com/modules/SE4101#timetable","Timetable")</f>
      </c>
      <c r="D3226" s="5"/>
      <c r="E3226" s="5">
        <f>=HYPERLINK("https://luminus.nus.edu.sg/modules/41db2ea7-5418-493b-b917-637d3a512997","LumiNUS course site")</f>
      </c>
      <c r="F3226" s="0" t="s">
        <v>73</v>
      </c>
      <c r="G3226" s="0" t="s">
        <v>775</v>
      </c>
      <c r="H3226" s="3">
        <v>6</v>
      </c>
    </row>
    <row r="3227">
      <c r="A3227" s="0" t="s">
        <v>5854</v>
      </c>
      <c r="B3227" s="0" t="s">
        <v>5855</v>
      </c>
      <c r="C3227" s="5">
        <f>=HYPERLINK("https://nusmods.com/modules/SE4212#timetable","Timetable")</f>
      </c>
      <c r="D3227" s="5"/>
      <c r="E3227" s="5">
        <f>=HYPERLINK("https://luminus.nus.edu.sg/modules/884c4327-91dc-4e21-a306-144f5a5d9375","LumiNUS course site")</f>
      </c>
      <c r="F3227" s="0" t="s">
        <v>73</v>
      </c>
      <c r="G3227" s="0" t="s">
        <v>775</v>
      </c>
      <c r="H3227" s="3">
        <v>9</v>
      </c>
    </row>
    <row r="3228">
      <c r="A3228" s="0" t="s">
        <v>5856</v>
      </c>
      <c r="B3228" s="0" t="s">
        <v>5857</v>
      </c>
      <c r="C3228" s="5">
        <f>=HYPERLINK("https://nusmods.com/modules/SE4218#timetable","Timetable")</f>
      </c>
      <c r="D3228" s="5"/>
      <c r="E3228" s="5">
        <f>=HYPERLINK("https://luminus.nus.edu.sg/modules/572c8551-3381-4532-806f-0496acb2c0fa","LumiNUS course site")</f>
      </c>
      <c r="F3228" s="0" t="s">
        <v>73</v>
      </c>
      <c r="G3228" s="0" t="s">
        <v>775</v>
      </c>
      <c r="H3228" s="3">
        <v>10</v>
      </c>
    </row>
    <row r="3229">
      <c r="A3229" s="0" t="s">
        <v>5858</v>
      </c>
      <c r="B3229" s="0" t="s">
        <v>5859</v>
      </c>
      <c r="C3229" s="5">
        <f>=HYPERLINK("https://nusmods.com/modules/SE4227#timetable","Timetable")</f>
      </c>
      <c r="D3229" s="5"/>
      <c r="E3229" s="5">
        <f>=HYPERLINK("https://luminus.nus.edu.sg/modules/a2e25de7-ea22-4dbd-8b14-b1bb83e4a269","LumiNUS course site")</f>
      </c>
      <c r="F3229" s="0" t="s">
        <v>73</v>
      </c>
      <c r="G3229" s="0" t="s">
        <v>775</v>
      </c>
      <c r="H3229" s="3">
        <v>15</v>
      </c>
    </row>
    <row r="3230">
      <c r="A3230" s="0" t="s">
        <v>5860</v>
      </c>
      <c r="B3230" s="0" t="s">
        <v>980</v>
      </c>
      <c r="C3230" s="5">
        <f>=HYPERLINK("https://nusmods.com/modules/SE4401#timetable","Timetable")</f>
      </c>
      <c r="D3230" s="5"/>
      <c r="E3230" s="5"/>
      <c r="F3230" s="0" t="s">
        <v>73</v>
      </c>
      <c r="G3230" s="0" t="s">
        <v>775</v>
      </c>
      <c r="H3230" s="3">
        <v>0</v>
      </c>
    </row>
    <row r="3231">
      <c r="A3231" s="0" t="s">
        <v>5861</v>
      </c>
      <c r="B3231" s="0" t="s">
        <v>602</v>
      </c>
      <c r="C3231" s="5">
        <f>=HYPERLINK("https://nusmods.com/modules/SE4660#timetable","Timetable")</f>
      </c>
      <c r="D3231" s="5"/>
      <c r="E3231" s="5"/>
      <c r="F3231" s="0" t="s">
        <v>73</v>
      </c>
      <c r="G3231" s="0" t="s">
        <v>775</v>
      </c>
      <c r="H3231" s="3">
        <v>0</v>
      </c>
    </row>
    <row r="3232">
      <c r="A3232" s="0" t="s">
        <v>5862</v>
      </c>
      <c r="B3232" s="0" t="s">
        <v>5863</v>
      </c>
      <c r="C3232" s="5">
        <f>=HYPERLINK("https://nusmods.com/modules/SE5201#timetable","Timetable")</f>
      </c>
      <c r="D3232" s="5"/>
      <c r="E3232" s="5"/>
      <c r="F3232" s="0" t="s">
        <v>73</v>
      </c>
      <c r="G3232" s="0" t="s">
        <v>775</v>
      </c>
      <c r="H3232" s="3">
        <v>1</v>
      </c>
    </row>
    <row r="3233">
      <c r="A3233" s="0" t="s">
        <v>5864</v>
      </c>
      <c r="B3233" s="0" t="s">
        <v>5865</v>
      </c>
      <c r="C3233" s="5">
        <f>=HYPERLINK("https://nusmods.com/modules/SE5263#timetable","Timetable")</f>
      </c>
      <c r="D3233" s="5"/>
      <c r="E3233" s="5">
        <f>=HYPERLINK("https://luminus.nus.edu.sg/modules/b87c77b7-f3e3-4019-91e0-16c6e17dfc28","LumiNUS course site")</f>
      </c>
      <c r="F3233" s="0" t="s">
        <v>73</v>
      </c>
      <c r="G3233" s="0" t="s">
        <v>775</v>
      </c>
      <c r="H3233" s="3">
        <v>49</v>
      </c>
    </row>
    <row r="3234">
      <c r="A3234" s="0" t="s">
        <v>5866</v>
      </c>
      <c r="B3234" s="0" t="s">
        <v>989</v>
      </c>
      <c r="C3234" s="5">
        <f>=HYPERLINK("https://nusmods.com/modules/SE5660#timetable","Timetable")</f>
      </c>
      <c r="D3234" s="5"/>
      <c r="E3234" s="5"/>
      <c r="F3234" s="0" t="s">
        <v>73</v>
      </c>
      <c r="G3234" s="0" t="s">
        <v>775</v>
      </c>
      <c r="H3234" s="3">
        <v>1</v>
      </c>
    </row>
    <row r="3235">
      <c r="A3235" s="0" t="s">
        <v>5867</v>
      </c>
      <c r="B3235" s="0" t="s">
        <v>989</v>
      </c>
      <c r="C3235" s="5">
        <f>=HYPERLINK("https://nusmods.com/modules/SE6660#timetable","Timetable")</f>
      </c>
      <c r="D3235" s="5"/>
      <c r="E3235" s="5"/>
      <c r="F3235" s="0" t="s">
        <v>73</v>
      </c>
      <c r="G3235" s="0" t="s">
        <v>775</v>
      </c>
      <c r="H3235" s="3">
        <v>1</v>
      </c>
    </row>
    <row r="3236">
      <c r="A3236" s="0" t="s">
        <v>5868</v>
      </c>
      <c r="B3236" s="0" t="s">
        <v>5869</v>
      </c>
      <c r="C3236" s="5">
        <f>=HYPERLINK("https://nusmods.com/modules/SEA5101#timetable","Timetable")</f>
      </c>
      <c r="D3236" s="5"/>
      <c r="E3236" s="5">
        <f>=HYPERLINK("https://luminus.nus.edu.sg/modules/b7350404-0e5b-4f54-bcaf-6d3607f8a0d0","LumiNUS course site")</f>
      </c>
      <c r="F3236" s="0" t="s">
        <v>73</v>
      </c>
      <c r="G3236" s="0" t="s">
        <v>775</v>
      </c>
      <c r="H3236" s="3">
        <v>8</v>
      </c>
    </row>
    <row r="3237">
      <c r="A3237" s="0" t="s">
        <v>5870</v>
      </c>
      <c r="B3237" s="0" t="s">
        <v>5871</v>
      </c>
      <c r="C3237" s="5">
        <f>=HYPERLINK("https://nusmods.com/modules/SEA5102#timetable","Timetable")</f>
      </c>
      <c r="D3237" s="5"/>
      <c r="E3237" s="5">
        <f>=HYPERLINK("https://luminus.nus.edu.sg/modules/ce6d40d8-96d3-4345-a82a-aa7301328bfe","LumiNUS course site")</f>
      </c>
      <c r="F3237" s="0" t="s">
        <v>73</v>
      </c>
      <c r="G3237" s="0" t="s">
        <v>775</v>
      </c>
      <c r="H3237" s="3">
        <v>8</v>
      </c>
    </row>
    <row r="3238">
      <c r="A3238" s="0" t="s">
        <v>5872</v>
      </c>
      <c r="B3238" s="0" t="s">
        <v>5873</v>
      </c>
      <c r="C3238" s="5">
        <f>=HYPERLINK("https://nusmods.com/modules/SEA5201#timetable","Timetable")</f>
      </c>
      <c r="D3238" s="5"/>
      <c r="E3238" s="5">
        <f>=HYPERLINK("https://luminus.nus.edu.sg/modules/e8555ebc-8be2-4a19-9175-501f0be1b7c1","LumiNUS course site")</f>
      </c>
      <c r="F3238" s="0" t="s">
        <v>73</v>
      </c>
      <c r="G3238" s="0" t="s">
        <v>775</v>
      </c>
      <c r="H3238" s="3">
        <v>5</v>
      </c>
    </row>
    <row r="3239">
      <c r="A3239" s="0" t="s">
        <v>5874</v>
      </c>
      <c r="B3239" s="0" t="s">
        <v>5875</v>
      </c>
      <c r="C3239" s="5">
        <f>=HYPERLINK("https://nusmods.com/modules/SEA5212#timetable","Timetable")</f>
      </c>
      <c r="D3239" s="5"/>
      <c r="E3239" s="5">
        <f>=HYPERLINK("https://luminus.nus.edu.sg/modules/907a8e58-cb7b-460c-8e71-8b3bb8fea827","LumiNUS course site")</f>
      </c>
      <c r="F3239" s="0" t="s">
        <v>73</v>
      </c>
      <c r="G3239" s="0" t="s">
        <v>775</v>
      </c>
      <c r="H3239" s="3">
        <v>3</v>
      </c>
    </row>
    <row r="3240">
      <c r="A3240" s="0" t="s">
        <v>5876</v>
      </c>
      <c r="B3240" s="0" t="s">
        <v>5877</v>
      </c>
      <c r="C3240" s="5">
        <f>=HYPERLINK("https://nusmods.com/modules/SEA5232#timetable","Timetable")</f>
      </c>
      <c r="D3240" s="5"/>
      <c r="E3240" s="5">
        <f>=HYPERLINK("https://luminus.nus.edu.sg/modules/e5bde066-9112-4081-a96a-cb4743338280","LumiNUS course site")</f>
      </c>
      <c r="F3240" s="0" t="s">
        <v>73</v>
      </c>
      <c r="G3240" s="0" t="s">
        <v>775</v>
      </c>
      <c r="H3240" s="3">
        <v>6</v>
      </c>
    </row>
    <row r="3241">
      <c r="A3241" s="0" t="s">
        <v>5878</v>
      </c>
      <c r="B3241" s="0" t="s">
        <v>5879</v>
      </c>
      <c r="C3241" s="5">
        <f>=HYPERLINK("https://nusmods.com/modules/SEA5234#timetable","Timetable")</f>
      </c>
      <c r="D3241" s="5"/>
      <c r="E3241" s="5">
        <f>=HYPERLINK("https://luminus.nus.edu.sg/modules/5236dc64-67ef-4c1f-aaac-d88237eb208b","LumiNUS course site")</f>
      </c>
      <c r="F3241" s="0" t="s">
        <v>73</v>
      </c>
      <c r="G3241" s="0" t="s">
        <v>775</v>
      </c>
      <c r="H3241" s="3">
        <v>5</v>
      </c>
    </row>
    <row r="3242">
      <c r="A3242" s="0" t="s">
        <v>5880</v>
      </c>
      <c r="B3242" s="0" t="s">
        <v>5881</v>
      </c>
      <c r="C3242" s="5">
        <f>=HYPERLINK("https://nusmods.com/modules/SEA5301B#timetable","Timetable")</f>
      </c>
      <c r="D3242" s="5"/>
      <c r="E3242" s="5">
        <f>=HYPERLINK("https://luminus.nus.edu.sg/modules/00fb4dc7-80a9-49fa-8867-db54ab651ad2","LumiNUS course site")</f>
      </c>
      <c r="F3242" s="0" t="s">
        <v>73</v>
      </c>
      <c r="G3242" s="0" t="s">
        <v>775</v>
      </c>
      <c r="H3242" s="3">
        <v>8</v>
      </c>
    </row>
    <row r="3243">
      <c r="A3243" s="0" t="s">
        <v>5882</v>
      </c>
      <c r="B3243" s="0" t="s">
        <v>602</v>
      </c>
      <c r="C3243" s="5">
        <f>=HYPERLINK("https://nusmods.com/modules/SEA5660#timetable","Timetable")</f>
      </c>
      <c r="D3243" s="5"/>
      <c r="E3243" s="5"/>
      <c r="F3243" s="0" t="s">
        <v>73</v>
      </c>
      <c r="G3243" s="0" t="s">
        <v>775</v>
      </c>
      <c r="H3243" s="3">
        <v>0</v>
      </c>
    </row>
    <row r="3244">
      <c r="A3244" s="0" t="s">
        <v>5883</v>
      </c>
      <c r="B3244" s="0" t="s">
        <v>5884</v>
      </c>
      <c r="C3244" s="5">
        <f>=HYPERLINK("https://nusmods.com/modules/SH5002#timetable","Timetable")</f>
      </c>
      <c r="D3244" s="5">
        <f>=HYPERLINK("https://canvas.nus.edu.sg/courses/25242","Canvas course site")</f>
      </c>
      <c r="E3244" s="5"/>
      <c r="F3244" s="0" t="s">
        <v>10</v>
      </c>
      <c r="G3244" s="0" t="s">
        <v>1140</v>
      </c>
      <c r="H3244" s="3">
        <v>68</v>
      </c>
    </row>
    <row r="3245">
      <c r="A3245" s="0" t="s">
        <v>5885</v>
      </c>
      <c r="B3245" s="0" t="s">
        <v>5886</v>
      </c>
      <c r="C3245" s="5">
        <f>=HYPERLINK("https://nusmods.com/modules/SH5003C#timetable","Timetable")</f>
      </c>
      <c r="D3245" s="5"/>
      <c r="E3245" s="5">
        <f>=HYPERLINK("https://luminus.nus.edu.sg/modules/fcd8c920-8574-430f-a480-4c21022c5e5d","LumiNUS course site")</f>
      </c>
      <c r="F3245" s="0" t="s">
        <v>10</v>
      </c>
      <c r="G3245" s="0" t="s">
        <v>1140</v>
      </c>
      <c r="H3245" s="3">
        <v>25</v>
      </c>
    </row>
    <row r="3246">
      <c r="A3246" s="0" t="s">
        <v>5887</v>
      </c>
      <c r="B3246" s="0" t="s">
        <v>5888</v>
      </c>
      <c r="C3246" s="5">
        <f>=HYPERLINK("https://nusmods.com/modules/SH5101C#timetable","Timetable")</f>
      </c>
      <c r="D3246" s="5"/>
      <c r="E3246" s="5"/>
      <c r="F3246" s="0" t="s">
        <v>10</v>
      </c>
      <c r="G3246" s="0" t="s">
        <v>1140</v>
      </c>
      <c r="H3246" s="3">
        <v>25</v>
      </c>
    </row>
    <row r="3247">
      <c r="A3247" s="0" t="s">
        <v>5889</v>
      </c>
      <c r="B3247" s="0" t="s">
        <v>5890</v>
      </c>
      <c r="C3247" s="5">
        <f>=HYPERLINK("https://nusmods.com/modules/SH5103#timetable","Timetable")</f>
      </c>
      <c r="D3247" s="5">
        <f>=HYPERLINK("https://canvas.nus.edu.sg/courses/25257","Canvas course site")</f>
      </c>
      <c r="E3247" s="5"/>
      <c r="F3247" s="0" t="s">
        <v>10</v>
      </c>
      <c r="G3247" s="0" t="s">
        <v>1140</v>
      </c>
      <c r="H3247" s="3">
        <v>85</v>
      </c>
    </row>
    <row r="3248">
      <c r="A3248" s="0" t="s">
        <v>5891</v>
      </c>
      <c r="B3248" s="0" t="s">
        <v>5892</v>
      </c>
      <c r="C3248" s="5">
        <f>=HYPERLINK("https://nusmods.com/modules/SH5104#timetable","Timetable")</f>
      </c>
      <c r="D3248" s="5">
        <f>=HYPERLINK("https://canvas.nus.edu.sg/courses/25262","Canvas course site")</f>
      </c>
      <c r="E3248" s="5"/>
      <c r="F3248" s="0" t="s">
        <v>10</v>
      </c>
      <c r="G3248" s="0" t="s">
        <v>1140</v>
      </c>
      <c r="H3248" s="3">
        <v>65</v>
      </c>
    </row>
    <row r="3249">
      <c r="A3249" s="0" t="s">
        <v>5893</v>
      </c>
      <c r="B3249" s="0" t="s">
        <v>5894</v>
      </c>
      <c r="C3249" s="5">
        <f>=HYPERLINK("https://nusmods.com/modules/SH5106#timetable","Timetable")</f>
      </c>
      <c r="D3249" s="5"/>
      <c r="E3249" s="5">
        <f>=HYPERLINK("https://luminus.nus.edu.sg/modules/6665b541-970e-448c-9fd9-3fdcc4e1953f","LumiNUS course site")</f>
      </c>
      <c r="F3249" s="0" t="s">
        <v>10</v>
      </c>
      <c r="G3249" s="0" t="s">
        <v>1140</v>
      </c>
      <c r="H3249" s="3">
        <v>45</v>
      </c>
    </row>
    <row r="3250">
      <c r="A3250" s="0" t="s">
        <v>5895</v>
      </c>
      <c r="B3250" s="0" t="s">
        <v>5896</v>
      </c>
      <c r="C3250" s="5">
        <f>=HYPERLINK("https://nusmods.com/modules/SH5107#timetable","Timetable")</f>
      </c>
      <c r="D3250" s="5">
        <f>=HYPERLINK("https://canvas.nus.edu.sg/courses/25272","Canvas course site")</f>
      </c>
      <c r="E3250" s="5"/>
      <c r="F3250" s="0" t="s">
        <v>10</v>
      </c>
      <c r="G3250" s="0" t="s">
        <v>1140</v>
      </c>
      <c r="H3250" s="3">
        <v>31</v>
      </c>
    </row>
    <row r="3251">
      <c r="A3251" s="0" t="s">
        <v>5897</v>
      </c>
      <c r="B3251" s="0" t="s">
        <v>5898</v>
      </c>
      <c r="C3251" s="5">
        <f>=HYPERLINK("https://nusmods.com/modules/SH5110#timetable","Timetable")</f>
      </c>
      <c r="D3251" s="5">
        <f>=HYPERLINK("https://canvas.nus.edu.sg/courses/25276","Canvas course site")</f>
      </c>
      <c r="E3251" s="5"/>
      <c r="F3251" s="0" t="s">
        <v>10</v>
      </c>
      <c r="G3251" s="0" t="s">
        <v>1140</v>
      </c>
      <c r="H3251" s="3">
        <v>37</v>
      </c>
    </row>
    <row r="3252">
      <c r="A3252" s="0" t="s">
        <v>5899</v>
      </c>
      <c r="B3252" s="0" t="s">
        <v>5900</v>
      </c>
      <c r="C3252" s="5">
        <f>=HYPERLINK("https://nusmods.com/modules/SH5201C#timetable","Timetable")</f>
      </c>
      <c r="D3252" s="5"/>
      <c r="E3252" s="5">
        <f>=HYPERLINK("https://luminus.nus.edu.sg/modules/0ef7470a-04fe-4c8c-836f-1354749a74f6","LumiNUS course site")</f>
      </c>
      <c r="F3252" s="0" t="s">
        <v>10</v>
      </c>
      <c r="G3252" s="0" t="s">
        <v>1140</v>
      </c>
      <c r="H3252" s="3">
        <v>25</v>
      </c>
    </row>
    <row r="3253">
      <c r="A3253" s="0" t="s">
        <v>5901</v>
      </c>
      <c r="B3253" s="0" t="s">
        <v>5902</v>
      </c>
      <c r="C3253" s="5">
        <f>=HYPERLINK("https://nusmods.com/modules/SH5203#timetable","Timetable")</f>
      </c>
      <c r="D3253" s="5">
        <f>=HYPERLINK("https://canvas.nus.edu.sg/courses/25293","Canvas course site")</f>
      </c>
      <c r="E3253" s="5">
        <f>=HYPERLINK("https://luminus.nus.edu.sg/modules/d4c0c527-0984-4e1e-b37e-1654501c971b","LumiNUS course site")</f>
      </c>
      <c r="F3253" s="0" t="s">
        <v>10</v>
      </c>
      <c r="G3253" s="0" t="s">
        <v>1140</v>
      </c>
      <c r="H3253" s="3">
        <v>45</v>
      </c>
    </row>
    <row r="3254">
      <c r="A3254" s="0" t="s">
        <v>5903</v>
      </c>
      <c r="B3254" s="0" t="s">
        <v>5902</v>
      </c>
      <c r="C3254" s="5">
        <f>=HYPERLINK("https://nusmods.com/modules/SH5203C#timetable","Timetable")</f>
      </c>
      <c r="D3254" s="5"/>
      <c r="E3254" s="5">
        <f>=HYPERLINK("https://luminus.nus.edu.sg/modules/d4c0c527-0984-4e1e-b37e-1654501c971b","LumiNUS course site")</f>
      </c>
      <c r="F3254" s="0" t="s">
        <v>10</v>
      </c>
      <c r="G3254" s="0" t="s">
        <v>1140</v>
      </c>
      <c r="H3254" s="3">
        <v>25</v>
      </c>
    </row>
    <row r="3255">
      <c r="A3255" s="0" t="s">
        <v>5904</v>
      </c>
      <c r="B3255" s="0" t="s">
        <v>5905</v>
      </c>
      <c r="C3255" s="5">
        <f>=HYPERLINK("https://nusmods.com/modules/SH5204#timetable","Timetable")</f>
      </c>
      <c r="D3255" s="5">
        <f>=HYPERLINK("https://canvas.nus.edu.sg/courses/25305","Canvas course site")</f>
      </c>
      <c r="E3255" s="5"/>
      <c r="F3255" s="0" t="s">
        <v>10</v>
      </c>
      <c r="G3255" s="0" t="s">
        <v>1140</v>
      </c>
      <c r="H3255" s="3">
        <v>36</v>
      </c>
    </row>
    <row r="3256">
      <c r="A3256" s="0" t="s">
        <v>5906</v>
      </c>
      <c r="B3256" s="0" t="s">
        <v>5907</v>
      </c>
      <c r="C3256" s="5">
        <f>=HYPERLINK("https://nusmods.com/modules/SH5205C#timetable","Timetable")</f>
      </c>
      <c r="D3256" s="5"/>
      <c r="E3256" s="5"/>
      <c r="F3256" s="0" t="s">
        <v>10</v>
      </c>
      <c r="G3256" s="0" t="s">
        <v>1140</v>
      </c>
      <c r="H3256" s="3">
        <v>25</v>
      </c>
    </row>
    <row r="3257">
      <c r="A3257" s="0" t="s">
        <v>5908</v>
      </c>
      <c r="B3257" s="0" t="s">
        <v>5909</v>
      </c>
      <c r="C3257" s="5">
        <f>=HYPERLINK("https://nusmods.com/modules/SH5206#timetable","Timetable")</f>
      </c>
      <c r="D3257" s="5"/>
      <c r="E3257" s="5">
        <f>=HYPERLINK("https://luminus.nus.edu.sg/modules/d7ae5c5b-b590-435e-878f-61800bbedb30","LumiNUS course site")</f>
      </c>
      <c r="F3257" s="0" t="s">
        <v>10</v>
      </c>
      <c r="G3257" s="0" t="s">
        <v>1140</v>
      </c>
      <c r="H3257" s="3">
        <v>71</v>
      </c>
    </row>
    <row r="3258">
      <c r="A3258" s="0" t="s">
        <v>5910</v>
      </c>
      <c r="B3258" s="0" t="s">
        <v>5911</v>
      </c>
      <c r="C3258" s="5">
        <f>=HYPERLINK("https://nusmods.com/modules/SH5207#timetable","Timetable")</f>
      </c>
      <c r="D3258" s="5">
        <f>=HYPERLINK("https://canvas.nus.edu.sg/courses/25319","Canvas course site")</f>
      </c>
      <c r="E3258" s="5"/>
      <c r="F3258" s="0" t="s">
        <v>10</v>
      </c>
      <c r="G3258" s="0" t="s">
        <v>1140</v>
      </c>
      <c r="H3258" s="3">
        <v>45</v>
      </c>
    </row>
    <row r="3259">
      <c r="A3259" s="0" t="s">
        <v>5912</v>
      </c>
      <c r="B3259" s="0" t="s">
        <v>5913</v>
      </c>
      <c r="C3259" s="5">
        <f>=HYPERLINK("https://nusmods.com/modules/SH5401C#timetable","Timetable")</f>
      </c>
      <c r="D3259" s="5"/>
      <c r="E3259" s="5">
        <f>=HYPERLINK("https://luminus.nus.edu.sg/modules/5fae48a8-dbfb-484d-9bdf-e9ed1c2fb382","LumiNUS course site")</f>
      </c>
      <c r="F3259" s="0" t="s">
        <v>10</v>
      </c>
      <c r="G3259" s="0" t="s">
        <v>1140</v>
      </c>
      <c r="H3259" s="3">
        <v>25</v>
      </c>
    </row>
    <row r="3260">
      <c r="A3260" s="0" t="s">
        <v>5914</v>
      </c>
      <c r="B3260" s="0" t="s">
        <v>5915</v>
      </c>
      <c r="C3260" s="5">
        <f>=HYPERLINK("https://nusmods.com/modules/SH5402#timetable","Timetable")</f>
      </c>
      <c r="D3260" s="5">
        <f>=HYPERLINK("https://canvas.nus.edu.sg/courses/25331","Canvas course site")</f>
      </c>
      <c r="E3260" s="5"/>
      <c r="F3260" s="0" t="s">
        <v>10</v>
      </c>
      <c r="G3260" s="0" t="s">
        <v>1140</v>
      </c>
      <c r="H3260" s="3">
        <v>36</v>
      </c>
    </row>
    <row r="3261">
      <c r="A3261" s="0" t="s">
        <v>5916</v>
      </c>
      <c r="B3261" s="0" t="s">
        <v>989</v>
      </c>
      <c r="C3261" s="5">
        <f>=HYPERLINK("https://nusmods.com/modules/SH5403#timetable","Timetable")</f>
      </c>
      <c r="D3261" s="5">
        <f>=HYPERLINK("https://canvas.nus.edu.sg/courses/25336","Canvas course site")</f>
      </c>
      <c r="E3261" s="5"/>
      <c r="F3261" s="0" t="s">
        <v>10</v>
      </c>
      <c r="G3261" s="0" t="s">
        <v>1140</v>
      </c>
      <c r="H3261" s="3">
        <v>1</v>
      </c>
    </row>
    <row r="3262">
      <c r="A3262" s="0" t="s">
        <v>5917</v>
      </c>
      <c r="B3262" s="0" t="s">
        <v>5918</v>
      </c>
      <c r="C3262" s="5">
        <f>=HYPERLINK("https://nusmods.com/modules/SH5404#timetable","Timetable")</f>
      </c>
      <c r="D3262" s="5">
        <f>=HYPERLINK("https://canvas.nus.edu.sg/courses/25341","Canvas course site")</f>
      </c>
      <c r="E3262" s="5"/>
      <c r="F3262" s="0" t="s">
        <v>10</v>
      </c>
      <c r="G3262" s="0" t="s">
        <v>1140</v>
      </c>
      <c r="H3262" s="3">
        <v>2</v>
      </c>
    </row>
    <row r="3263">
      <c r="A3263" s="0" t="s">
        <v>5919</v>
      </c>
      <c r="B3263" s="0" t="s">
        <v>120</v>
      </c>
      <c r="C3263" s="5">
        <f>=HYPERLINK("https://nusmods.com/modules/SH5406#timetable","Timetable")</f>
      </c>
      <c r="D3263" s="5">
        <f>=HYPERLINK("https://canvas.nus.edu.sg/courses/25347","Canvas course site")</f>
      </c>
      <c r="E3263" s="5"/>
      <c r="F3263" s="0" t="s">
        <v>10</v>
      </c>
      <c r="G3263" s="0" t="s">
        <v>1140</v>
      </c>
      <c r="H3263" s="3">
        <v>53</v>
      </c>
    </row>
    <row r="3264">
      <c r="A3264" s="0" t="s">
        <v>5920</v>
      </c>
      <c r="B3264" s="0" t="s">
        <v>5921</v>
      </c>
      <c r="C3264" s="5">
        <f>=HYPERLINK("https://nusmods.com/modules/SH5666#timetable","Timetable")</f>
      </c>
      <c r="D3264" s="5">
        <f>=HYPERLINK("https://canvas.nus.edu.sg/courses/25351","Canvas course site")</f>
      </c>
      <c r="E3264" s="5"/>
      <c r="F3264" s="0" t="s">
        <v>10</v>
      </c>
      <c r="G3264" s="0" t="s">
        <v>1140</v>
      </c>
      <c r="H3264" s="3">
        <v>8</v>
      </c>
    </row>
    <row r="3265">
      <c r="A3265" s="0" t="s">
        <v>5922</v>
      </c>
      <c r="B3265" s="0" t="s">
        <v>5923</v>
      </c>
      <c r="C3265" s="5">
        <f>=HYPERLINK("https://nusmods.com/modules/SLP5113#timetable","Timetable")</f>
      </c>
      <c r="D3265" s="5"/>
      <c r="E3265" s="5"/>
      <c r="F3265" s="0" t="s">
        <v>90</v>
      </c>
      <c r="G3265" s="0" t="s">
        <v>210</v>
      </c>
      <c r="H3265" s="3">
        <v>1</v>
      </c>
    </row>
    <row r="3266">
      <c r="A3266" s="0" t="s">
        <v>5924</v>
      </c>
      <c r="B3266" s="0" t="s">
        <v>5925</v>
      </c>
      <c r="C3266" s="5">
        <f>=HYPERLINK("https://nusmods.com/modules/SLP5114#timetable","Timetable")</f>
      </c>
      <c r="D3266" s="5"/>
      <c r="E3266" s="5">
        <f>=HYPERLINK("https://luminus.nus.edu.sg/modules/46e01bb9-1584-4476-b8ee-879d49e5abd0","LumiNUS course site")</f>
      </c>
      <c r="F3266" s="0" t="s">
        <v>90</v>
      </c>
      <c r="G3266" s="0" t="s">
        <v>210</v>
      </c>
      <c r="H3266" s="3">
        <v>30</v>
      </c>
    </row>
    <row r="3267">
      <c r="A3267" s="0" t="s">
        <v>5926</v>
      </c>
      <c r="B3267" s="0" t="s">
        <v>5927</v>
      </c>
      <c r="C3267" s="5">
        <f>=HYPERLINK("https://nusmods.com/modules/SLP5115#timetable","Timetable")</f>
      </c>
      <c r="D3267" s="5"/>
      <c r="E3267" s="5">
        <f>=HYPERLINK("https://luminus.nus.edu.sg/modules/4d06c548-14de-453a-b960-072f8e8959d9","LumiNUS course site")</f>
      </c>
      <c r="F3267" s="0" t="s">
        <v>90</v>
      </c>
      <c r="G3267" s="0" t="s">
        <v>210</v>
      </c>
      <c r="H3267" s="3">
        <v>30</v>
      </c>
    </row>
    <row r="3268">
      <c r="A3268" s="0" t="s">
        <v>5928</v>
      </c>
      <c r="B3268" s="0" t="s">
        <v>5929</v>
      </c>
      <c r="C3268" s="5">
        <f>=HYPERLINK("https://nusmods.com/modules/SLP5116#timetable","Timetable")</f>
      </c>
      <c r="D3268" s="5"/>
      <c r="E3268" s="5">
        <f>=HYPERLINK("https://luminus.nus.edu.sg/modules/e4830d23-b5ae-4293-bbdd-769010bc4305","LumiNUS course site")</f>
      </c>
      <c r="F3268" s="0" t="s">
        <v>90</v>
      </c>
      <c r="G3268" s="0" t="s">
        <v>210</v>
      </c>
      <c r="H3268" s="3">
        <v>30</v>
      </c>
    </row>
    <row r="3269">
      <c r="A3269" s="0" t="s">
        <v>5930</v>
      </c>
      <c r="B3269" s="0" t="s">
        <v>5931</v>
      </c>
      <c r="C3269" s="5">
        <f>=HYPERLINK("https://nusmods.com/modules/SLP5117#timetable","Timetable")</f>
      </c>
      <c r="D3269" s="5"/>
      <c r="E3269" s="5">
        <f>=HYPERLINK("https://luminus.nus.edu.sg/modules/474be699-b9c4-4494-bd5d-7b9d8e75c2fe","LumiNUS course site")</f>
      </c>
      <c r="F3269" s="0" t="s">
        <v>90</v>
      </c>
      <c r="G3269" s="0" t="s">
        <v>210</v>
      </c>
      <c r="H3269" s="3">
        <v>30</v>
      </c>
    </row>
    <row r="3270">
      <c r="A3270" s="0" t="s">
        <v>5932</v>
      </c>
      <c r="B3270" s="0" t="s">
        <v>5933</v>
      </c>
      <c r="C3270" s="5">
        <f>=HYPERLINK("https://nusmods.com/modules/SLP5118#timetable","Timetable")</f>
      </c>
      <c r="D3270" s="5"/>
      <c r="E3270" s="5">
        <f>=HYPERLINK("https://luminus.nus.edu.sg/modules/c2cf7e68-72f6-45e4-ad1d-549826f8e6cb","LumiNUS course site")</f>
      </c>
      <c r="F3270" s="0" t="s">
        <v>90</v>
      </c>
      <c r="G3270" s="0" t="s">
        <v>210</v>
      </c>
      <c r="H3270" s="3">
        <v>29</v>
      </c>
    </row>
    <row r="3271">
      <c r="A3271" s="0" t="s">
        <v>5934</v>
      </c>
      <c r="B3271" s="0" t="s">
        <v>5935</v>
      </c>
      <c r="C3271" s="5">
        <f>=HYPERLINK("https://nusmods.com/modules/SN1101E#timetable","Timetable")</f>
      </c>
      <c r="D3271" s="5"/>
      <c r="E3271" s="5">
        <f>=HYPERLINK("https://luminus.nus.edu.sg/modules/51e88d74-756b-4c35-a86c-e21cd0e96de8","LumiNUS course site")</f>
      </c>
      <c r="F3271" s="0" t="s">
        <v>73</v>
      </c>
      <c r="G3271" s="0" t="s">
        <v>2488</v>
      </c>
      <c r="H3271" s="3">
        <v>54</v>
      </c>
    </row>
    <row r="3272">
      <c r="A3272" s="0" t="s">
        <v>5936</v>
      </c>
      <c r="B3272" s="0" t="s">
        <v>5937</v>
      </c>
      <c r="C3272" s="5">
        <f>=HYPERLINK("https://nusmods.com/modules/SN2213#timetable","Timetable")</f>
      </c>
      <c r="D3272" s="5"/>
      <c r="E3272" s="5">
        <f>=HYPERLINK("https://luminus.nus.edu.sg/modules/6ae8b2ca-533d-49c6-9fff-388db2cb91e9","LumiNUS course site")</f>
      </c>
      <c r="F3272" s="0" t="s">
        <v>73</v>
      </c>
      <c r="G3272" s="0" t="s">
        <v>2488</v>
      </c>
      <c r="H3272" s="3">
        <v>20</v>
      </c>
    </row>
    <row r="3273">
      <c r="A3273" s="0" t="s">
        <v>5938</v>
      </c>
      <c r="B3273" s="0" t="s">
        <v>5939</v>
      </c>
      <c r="C3273" s="5">
        <f>=HYPERLINK("https://nusmods.com/modules/SN2261#timetable","Timetable")</f>
      </c>
      <c r="D3273" s="5"/>
      <c r="E3273" s="5">
        <f>=HYPERLINK("https://luminus.nus.edu.sg/modules/09c2ca18-8ae3-4461-998a-67cd5c9a6f5c","LumiNUS course site")</f>
      </c>
      <c r="F3273" s="0" t="s">
        <v>73</v>
      </c>
      <c r="G3273" s="0" t="s">
        <v>2488</v>
      </c>
      <c r="H3273" s="3">
        <v>13</v>
      </c>
    </row>
    <row r="3274">
      <c r="A3274" s="0" t="s">
        <v>5940</v>
      </c>
      <c r="B3274" s="0" t="s">
        <v>5941</v>
      </c>
      <c r="C3274" s="5">
        <f>=HYPERLINK("https://nusmods.com/modules/SN2271#timetable","Timetable")</f>
      </c>
      <c r="D3274" s="5"/>
      <c r="E3274" s="5">
        <f>=HYPERLINK("https://luminus.nus.edu.sg/modules/d2d83b1b-9343-48ea-8c60-25d754839ade","LumiNUS course site")</f>
      </c>
      <c r="F3274" s="0" t="s">
        <v>73</v>
      </c>
      <c r="G3274" s="0" t="s">
        <v>2488</v>
      </c>
      <c r="H3274" s="3">
        <v>17</v>
      </c>
    </row>
    <row r="3275">
      <c r="A3275" s="0" t="s">
        <v>5942</v>
      </c>
      <c r="B3275" s="0" t="s">
        <v>5943</v>
      </c>
      <c r="C3275" s="5">
        <f>=HYPERLINK("https://nusmods.com/modules/SN3223#timetable","Timetable")</f>
      </c>
      <c r="D3275" s="5"/>
      <c r="E3275" s="5">
        <f>=HYPERLINK("https://luminus.nus.edu.sg/modules/b0cf069f-3378-43dd-98ef-314d4d483dcb","LumiNUS course site")</f>
      </c>
      <c r="F3275" s="0" t="s">
        <v>73</v>
      </c>
      <c r="G3275" s="0" t="s">
        <v>2488</v>
      </c>
      <c r="H3275" s="3">
        <v>16</v>
      </c>
    </row>
    <row r="3276">
      <c r="A3276" s="0" t="s">
        <v>5944</v>
      </c>
      <c r="B3276" s="0" t="s">
        <v>5945</v>
      </c>
      <c r="C3276" s="5">
        <f>=HYPERLINK("https://nusmods.com/modules/SN3281#timetable","Timetable")</f>
      </c>
      <c r="D3276" s="5"/>
      <c r="E3276" s="5">
        <f>=HYPERLINK("https://luminus.nus.edu.sg/modules/7f9b3aea-1cbc-44a9-b1ab-fa2ad1297256","LumiNUS course site")</f>
      </c>
      <c r="F3276" s="0" t="s">
        <v>73</v>
      </c>
      <c r="G3276" s="0" t="s">
        <v>2488</v>
      </c>
      <c r="H3276" s="3">
        <v>7</v>
      </c>
    </row>
    <row r="3277">
      <c r="A3277" s="0" t="s">
        <v>5946</v>
      </c>
      <c r="B3277" s="0" t="s">
        <v>25</v>
      </c>
      <c r="C3277" s="5">
        <f>=HYPERLINK("https://nusmods.com/modules/SN3550#timetable","Timetable")</f>
      </c>
      <c r="D3277" s="5"/>
      <c r="E3277" s="5"/>
      <c r="F3277" s="0" t="s">
        <v>73</v>
      </c>
      <c r="G3277" s="0" t="s">
        <v>2488</v>
      </c>
      <c r="H3277" s="3">
        <v>0</v>
      </c>
    </row>
    <row r="3278">
      <c r="A3278" s="0" t="s">
        <v>5947</v>
      </c>
      <c r="B3278" s="0" t="s">
        <v>5948</v>
      </c>
      <c r="C3278" s="5">
        <f>=HYPERLINK("https://nusmods.com/modules/SN4101#timetable","Timetable")</f>
      </c>
      <c r="D3278" s="5"/>
      <c r="E3278" s="5">
        <f>=HYPERLINK("https://luminus.nus.edu.sg/modules/6292d8fb-8cda-4d66-8293-98eb6b0fcfce","LumiNUS course site")</f>
      </c>
      <c r="F3278" s="0" t="s">
        <v>73</v>
      </c>
      <c r="G3278" s="0" t="s">
        <v>2488</v>
      </c>
      <c r="H3278" s="3">
        <v>2</v>
      </c>
    </row>
    <row r="3279">
      <c r="A3279" s="0" t="s">
        <v>5949</v>
      </c>
      <c r="B3279" s="0" t="s">
        <v>980</v>
      </c>
      <c r="C3279" s="5">
        <f>=HYPERLINK("https://nusmods.com/modules/SN4401#timetable","Timetable")</f>
      </c>
      <c r="D3279" s="5"/>
      <c r="E3279" s="5">
        <f>=HYPERLINK("https://luminus.nus.edu.sg/modules/5ea035c7-2e76-412e-bbc9-b5645e8b0a5b","LumiNUS course site")</f>
      </c>
      <c r="F3279" s="0" t="s">
        <v>73</v>
      </c>
      <c r="G3279" s="0" t="s">
        <v>2488</v>
      </c>
      <c r="H3279" s="3">
        <v>1</v>
      </c>
    </row>
    <row r="3280">
      <c r="A3280" s="0" t="s">
        <v>5950</v>
      </c>
      <c r="B3280" s="0" t="s">
        <v>602</v>
      </c>
      <c r="C3280" s="5">
        <f>=HYPERLINK("https://nusmods.com/modules/SN4660#timetable","Timetable")</f>
      </c>
      <c r="D3280" s="5"/>
      <c r="E3280" s="5"/>
      <c r="F3280" s="0" t="s">
        <v>73</v>
      </c>
      <c r="G3280" s="0" t="s">
        <v>2488</v>
      </c>
      <c r="H3280" s="3">
        <v>0</v>
      </c>
    </row>
    <row r="3281">
      <c r="A3281" s="0" t="s">
        <v>5951</v>
      </c>
      <c r="B3281" s="0" t="s">
        <v>602</v>
      </c>
      <c r="C3281" s="5">
        <f>=HYPERLINK("https://nusmods.com/modules/SN5660#timetable","Timetable")</f>
      </c>
      <c r="D3281" s="5"/>
      <c r="E3281" s="5"/>
      <c r="F3281" s="0" t="s">
        <v>73</v>
      </c>
      <c r="G3281" s="0" t="s">
        <v>2488</v>
      </c>
      <c r="H3281" s="3">
        <v>0</v>
      </c>
    </row>
    <row r="3282">
      <c r="A3282" s="0" t="s">
        <v>5952</v>
      </c>
      <c r="B3282" s="0" t="s">
        <v>989</v>
      </c>
      <c r="C3282" s="5">
        <f>=HYPERLINK("https://nusmods.com/modules/SN6660#timetable","Timetable")</f>
      </c>
      <c r="D3282" s="5"/>
      <c r="E3282" s="5"/>
      <c r="F3282" s="0" t="s">
        <v>73</v>
      </c>
      <c r="G3282" s="0" t="s">
        <v>2488</v>
      </c>
      <c r="H3282" s="3">
        <v>1</v>
      </c>
    </row>
    <row r="3283">
      <c r="A3283" s="0" t="s">
        <v>5953</v>
      </c>
      <c r="B3283" s="0" t="s">
        <v>5954</v>
      </c>
      <c r="C3283" s="5">
        <f>=HYPERLINK("https://nusmods.com/modules/SP1541#timetable","Timetable")</f>
      </c>
      <c r="D3283" s="5">
        <f>=HYPERLINK("https://canvas.nus.edu.sg/courses/25466","Canvas course site")</f>
      </c>
      <c r="E3283" s="5"/>
      <c r="F3283" s="0" t="s">
        <v>926</v>
      </c>
      <c r="G3283" s="0" t="s">
        <v>1288</v>
      </c>
      <c r="H3283" s="3">
        <v>578</v>
      </c>
    </row>
    <row r="3284">
      <c r="A3284" s="0" t="s">
        <v>5955</v>
      </c>
      <c r="B3284" s="0" t="s">
        <v>5956</v>
      </c>
      <c r="C3284" s="5">
        <f>=HYPERLINK("https://nusmods.com/modules/SP2271#timetable","Timetable")</f>
      </c>
      <c r="D3284" s="5">
        <f>=HYPERLINK("https://canvas.nus.edu.sg/courses/25471","Canvas course site")</f>
      </c>
      <c r="E3284" s="5"/>
      <c r="F3284" s="0" t="s">
        <v>266</v>
      </c>
      <c r="G3284" s="0" t="s">
        <v>1536</v>
      </c>
      <c r="H3284" s="3">
        <v>148</v>
      </c>
    </row>
    <row r="3285">
      <c r="A3285" s="0" t="s">
        <v>5957</v>
      </c>
      <c r="B3285" s="0" t="s">
        <v>5958</v>
      </c>
      <c r="C3285" s="5">
        <f>=HYPERLINK("https://nusmods.com/modules/SP2274#timetable","Timetable")</f>
      </c>
      <c r="D3285" s="5">
        <f>=HYPERLINK("https://canvas.nus.edu.sg/courses/25475","Canvas course site")</f>
      </c>
      <c r="E3285" s="5"/>
      <c r="F3285" s="0" t="s">
        <v>266</v>
      </c>
      <c r="G3285" s="0" t="s">
        <v>1536</v>
      </c>
      <c r="H3285" s="3">
        <v>68</v>
      </c>
    </row>
    <row r="3286">
      <c r="A3286" s="0" t="s">
        <v>5959</v>
      </c>
      <c r="B3286" s="0" t="s">
        <v>5960</v>
      </c>
      <c r="C3286" s="5">
        <f>=HYPERLINK("https://nusmods.com/modules/SP3176#timetable","Timetable")</f>
      </c>
      <c r="D3286" s="5">
        <f>=HYPERLINK("https://canvas.nus.edu.sg/courses/25480","Canvas course site")</f>
      </c>
      <c r="E3286" s="5"/>
      <c r="F3286" s="0" t="s">
        <v>266</v>
      </c>
      <c r="G3286" s="0" t="s">
        <v>1536</v>
      </c>
      <c r="H3286" s="3">
        <v>35</v>
      </c>
    </row>
    <row r="3287">
      <c r="A3287" s="0" t="s">
        <v>5961</v>
      </c>
      <c r="B3287" s="0" t="s">
        <v>5962</v>
      </c>
      <c r="C3287" s="5">
        <f>=HYPERLINK("https://nusmods.com/modules/SP3203#timetable","Timetable")</f>
      </c>
      <c r="D3287" s="5"/>
      <c r="E3287" s="5">
        <f>=HYPERLINK("https://luminus.nus.edu.sg/modules/a2c545f3-c150-467e-ade8-a5f533a63fef","LumiNUS course site")</f>
      </c>
      <c r="F3287" s="0" t="s">
        <v>266</v>
      </c>
      <c r="G3287" s="0" t="s">
        <v>267</v>
      </c>
      <c r="H3287" s="3">
        <v>21</v>
      </c>
    </row>
    <row r="3288">
      <c r="A3288" s="0" t="s">
        <v>5963</v>
      </c>
      <c r="B3288" s="0" t="s">
        <v>5964</v>
      </c>
      <c r="C3288" s="5">
        <f>=HYPERLINK("https://nusmods.com/modules/SP3275#timetable","Timetable")</f>
      </c>
      <c r="D3288" s="5"/>
      <c r="E3288" s="5">
        <f>=HYPERLINK("https://luminus.nus.edu.sg/modules/1dbfb7bb-4a3d-4b4b-b81a-4483f08c522b","LumiNUS course site")</f>
      </c>
      <c r="F3288" s="0" t="s">
        <v>266</v>
      </c>
      <c r="G3288" s="0" t="s">
        <v>1536</v>
      </c>
      <c r="H3288" s="3">
        <v>36</v>
      </c>
    </row>
    <row r="3289">
      <c r="A3289" s="0" t="s">
        <v>5965</v>
      </c>
      <c r="B3289" s="0" t="s">
        <v>5966</v>
      </c>
      <c r="C3289" s="5">
        <f>=HYPERLINK("https://nusmods.com/modules/SPH1901#timetable","Timetable")</f>
      </c>
      <c r="D3289" s="5">
        <f>=HYPERLINK("https://canvas.nus.edu.sg/courses/26810","Canvas course site")</f>
      </c>
      <c r="E3289" s="5"/>
      <c r="F3289" s="0" t="s">
        <v>2460</v>
      </c>
      <c r="G3289" s="0" t="s">
        <v>2461</v>
      </c>
      <c r="H3289" s="3">
        <v>352</v>
      </c>
    </row>
    <row r="3290">
      <c r="A3290" s="0" t="s">
        <v>5967</v>
      </c>
      <c r="B3290" s="0" t="s">
        <v>5968</v>
      </c>
      <c r="C3290" s="5">
        <f>=HYPERLINK("https://nusmods.com/modules/SPH2001#timetable","Timetable")</f>
      </c>
      <c r="D3290" s="5"/>
      <c r="E3290" s="5">
        <f>=HYPERLINK("https://luminus.nus.edu.sg/modules/b1159728-cdf2-4e63-b582-7e42debed1d6","LumiNUS course site")</f>
      </c>
      <c r="F3290" s="0" t="s">
        <v>2460</v>
      </c>
      <c r="G3290" s="0" t="s">
        <v>2461</v>
      </c>
      <c r="H3290" s="3">
        <v>85</v>
      </c>
    </row>
    <row r="3291">
      <c r="A3291" s="0" t="s">
        <v>5969</v>
      </c>
      <c r="B3291" s="0" t="s">
        <v>5970</v>
      </c>
      <c r="C3291" s="5">
        <f>=HYPERLINK("https://nusmods.com/modules/SPH2002#timetable","Timetable")</f>
      </c>
      <c r="D3291" s="5"/>
      <c r="E3291" s="5">
        <f>=HYPERLINK("https://luminus.nus.edu.sg/modules/02cadde6-341a-4302-aadd-a5c827455bc4","LumiNUS course site")</f>
      </c>
      <c r="F3291" s="0" t="s">
        <v>2460</v>
      </c>
      <c r="G3291" s="0" t="s">
        <v>2461</v>
      </c>
      <c r="H3291" s="3">
        <v>105</v>
      </c>
    </row>
    <row r="3292">
      <c r="A3292" s="0" t="s">
        <v>5971</v>
      </c>
      <c r="B3292" s="0" t="s">
        <v>5972</v>
      </c>
      <c r="C3292" s="5">
        <f>=HYPERLINK("https://nusmods.com/modules/SPH2003#timetable","Timetable")</f>
      </c>
      <c r="D3292" s="5"/>
      <c r="E3292" s="5">
        <f>=HYPERLINK("https://luminus.nus.edu.sg/modules/9d9d834c-233a-4b49-924c-f9f505f3b343","LumiNUS course site")</f>
      </c>
      <c r="F3292" s="0" t="s">
        <v>2460</v>
      </c>
      <c r="G3292" s="0" t="s">
        <v>2461</v>
      </c>
      <c r="H3292" s="3">
        <v>44</v>
      </c>
    </row>
    <row r="3293">
      <c r="A3293" s="0" t="s">
        <v>5973</v>
      </c>
      <c r="B3293" s="0" t="s">
        <v>5974</v>
      </c>
      <c r="C3293" s="5">
        <f>=HYPERLINK("https://nusmods.com/modules/SPH2004#timetable","Timetable")</f>
      </c>
      <c r="D3293" s="5"/>
      <c r="E3293" s="5">
        <f>=HYPERLINK("https://luminus.nus.edu.sg/modules/e9c53333-937f-4aff-a907-e2fda186f93f","LumiNUS course site")</f>
      </c>
      <c r="F3293" s="0" t="s">
        <v>2460</v>
      </c>
      <c r="G3293" s="0" t="s">
        <v>2461</v>
      </c>
      <c r="H3293" s="3">
        <v>60</v>
      </c>
    </row>
    <row r="3294">
      <c r="A3294" s="0" t="s">
        <v>5975</v>
      </c>
      <c r="B3294" s="0" t="s">
        <v>5976</v>
      </c>
      <c r="C3294" s="5">
        <f>=HYPERLINK("https://nusmods.com/modules/SPH2005#timetable","Timetable")</f>
      </c>
      <c r="D3294" s="5"/>
      <c r="E3294" s="5">
        <f>=HYPERLINK("https://luminus.nus.edu.sg/modules/ddbc8d49-a1d0-4eb3-b2bf-3aab6841af0e","LumiNUS course site")</f>
      </c>
      <c r="F3294" s="0" t="s">
        <v>2460</v>
      </c>
      <c r="G3294" s="0" t="s">
        <v>2461</v>
      </c>
      <c r="H3294" s="3">
        <v>40</v>
      </c>
    </row>
    <row r="3295">
      <c r="A3295" s="0" t="s">
        <v>5977</v>
      </c>
      <c r="B3295" s="0" t="s">
        <v>5978</v>
      </c>
      <c r="C3295" s="5">
        <f>=HYPERLINK("https://nusmods.com/modules/SPH2203#timetable","Timetable")</f>
      </c>
      <c r="D3295" s="5"/>
      <c r="E3295" s="5">
        <f>=HYPERLINK("https://luminus.nus.edu.sg/modules/9c06e2c1-3126-4416-8364-fcb6dfd7fd58","LumiNUS course site")</f>
      </c>
      <c r="F3295" s="0" t="s">
        <v>2460</v>
      </c>
      <c r="G3295" s="0" t="s">
        <v>2461</v>
      </c>
      <c r="H3295" s="3">
        <v>30</v>
      </c>
    </row>
    <row r="3296">
      <c r="A3296" s="0" t="s">
        <v>5979</v>
      </c>
      <c r="B3296" s="0" t="s">
        <v>5980</v>
      </c>
      <c r="C3296" s="5">
        <f>=HYPERLINK("https://nusmods.com/modules/SPH2301#timetable","Timetable")</f>
      </c>
      <c r="D3296" s="5"/>
      <c r="E3296" s="5">
        <f>=HYPERLINK("https://luminus.nus.edu.sg/modules/cf0beefe-4f5e-4003-a843-d33c99c362e5","LumiNUS course site")</f>
      </c>
      <c r="F3296" s="0" t="s">
        <v>2460</v>
      </c>
      <c r="G3296" s="0" t="s">
        <v>2461</v>
      </c>
      <c r="H3296" s="3">
        <v>31</v>
      </c>
    </row>
    <row r="3297">
      <c r="A3297" s="0" t="s">
        <v>5981</v>
      </c>
      <c r="B3297" s="0" t="s">
        <v>2738</v>
      </c>
      <c r="C3297" s="5">
        <f>=HYPERLINK("https://nusmods.com/modules/SPH2401#timetable","Timetable")</f>
      </c>
      <c r="D3297" s="5"/>
      <c r="E3297" s="5">
        <f>=HYPERLINK("https://luminus.nus.edu.sg/modules/f8aa49bd-2cb9-4a24-bb39-8493db416c84","LumiNUS course site")</f>
      </c>
      <c r="F3297" s="0" t="s">
        <v>2460</v>
      </c>
      <c r="G3297" s="0" t="s">
        <v>2461</v>
      </c>
      <c r="H3297" s="3">
        <v>37</v>
      </c>
    </row>
    <row r="3298">
      <c r="A3298" s="0" t="s">
        <v>5982</v>
      </c>
      <c r="B3298" s="0" t="s">
        <v>5983</v>
      </c>
      <c r="C3298" s="5">
        <f>=HYPERLINK("https://nusmods.com/modules/SPH3101#timetable","Timetable")</f>
      </c>
      <c r="D3298" s="5"/>
      <c r="E3298" s="5">
        <f>=HYPERLINK("https://luminus.nus.edu.sg/modules/66033c43-6fe0-4a14-aade-d30e96b6558e","LumiNUS course site")</f>
      </c>
      <c r="F3298" s="0" t="s">
        <v>2460</v>
      </c>
      <c r="G3298" s="0" t="s">
        <v>2461</v>
      </c>
      <c r="H3298" s="3">
        <v>27</v>
      </c>
    </row>
    <row r="3299">
      <c r="A3299" s="0" t="s">
        <v>5984</v>
      </c>
      <c r="B3299" s="0" t="s">
        <v>5985</v>
      </c>
      <c r="C3299" s="5">
        <f>=HYPERLINK("https://nusmods.com/modules/SPH3106#timetable","Timetable")</f>
      </c>
      <c r="D3299" s="5"/>
      <c r="E3299" s="5">
        <f>=HYPERLINK("https://luminus.nus.edu.sg/modules/94feeeec-36c9-4a80-9fb6-89dfddd9e064","LumiNUS course site")</f>
      </c>
      <c r="F3299" s="0" t="s">
        <v>2460</v>
      </c>
      <c r="G3299" s="0" t="s">
        <v>2461</v>
      </c>
      <c r="H3299" s="3">
        <v>13</v>
      </c>
    </row>
    <row r="3300">
      <c r="A3300" s="0" t="s">
        <v>5986</v>
      </c>
      <c r="B3300" s="0" t="s">
        <v>5987</v>
      </c>
      <c r="C3300" s="5">
        <f>=HYPERLINK("https://nusmods.com/modules/SPH3203#timetable","Timetable")</f>
      </c>
      <c r="D3300" s="5"/>
      <c r="E3300" s="5">
        <f>=HYPERLINK("https://luminus.nus.edu.sg/modules/8f62d7f2-3dbb-42d7-b057-3e8185bce3e9","LumiNUS course site")</f>
      </c>
      <c r="F3300" s="0" t="s">
        <v>2460</v>
      </c>
      <c r="G3300" s="0" t="s">
        <v>2461</v>
      </c>
      <c r="H3300" s="3">
        <v>23</v>
      </c>
    </row>
    <row r="3301">
      <c r="A3301" s="0" t="s">
        <v>5988</v>
      </c>
      <c r="B3301" s="0" t="s">
        <v>5989</v>
      </c>
      <c r="C3301" s="5">
        <f>=HYPERLINK("https://nusmods.com/modules/SPH3204#timetable","Timetable")</f>
      </c>
      <c r="D3301" s="5"/>
      <c r="E3301" s="5">
        <f>=HYPERLINK("https://luminus.nus.edu.sg/modules/493b6658-d2b1-474f-a306-133321ddafd9","LumiNUS course site")</f>
      </c>
      <c r="F3301" s="0" t="s">
        <v>2460</v>
      </c>
      <c r="G3301" s="0" t="s">
        <v>2461</v>
      </c>
      <c r="H3301" s="3">
        <v>32</v>
      </c>
    </row>
    <row r="3302">
      <c r="A3302" s="0" t="s">
        <v>5990</v>
      </c>
      <c r="B3302" s="0" t="s">
        <v>5991</v>
      </c>
      <c r="C3302" s="5">
        <f>=HYPERLINK("https://nusmods.com/modules/SPH3401#timetable","Timetable")</f>
      </c>
      <c r="D3302" s="5"/>
      <c r="E3302" s="5">
        <f>=HYPERLINK("https://luminus.nus.edu.sg/modules/1a73a6c7-2b68-4f55-8487-fa25622217ca","LumiNUS course site")</f>
      </c>
      <c r="F3302" s="0" t="s">
        <v>2460</v>
      </c>
      <c r="G3302" s="0" t="s">
        <v>2461</v>
      </c>
      <c r="H3302" s="3">
        <v>26</v>
      </c>
    </row>
    <row r="3303">
      <c r="A3303" s="0" t="s">
        <v>5992</v>
      </c>
      <c r="B3303" s="0" t="s">
        <v>5993</v>
      </c>
      <c r="C3303" s="5">
        <f>=HYPERLINK("https://nusmods.com/modules/SPH3403#timetable","Timetable")</f>
      </c>
      <c r="D3303" s="5"/>
      <c r="E3303" s="5">
        <f>=HYPERLINK("https://luminus.nus.edu.sg/modules/7da1a89a-1532-4cde-9854-823145cfcb9d","LumiNUS course site")</f>
      </c>
      <c r="F3303" s="0" t="s">
        <v>2460</v>
      </c>
      <c r="G3303" s="0" t="s">
        <v>2461</v>
      </c>
      <c r="H3303" s="3">
        <v>37</v>
      </c>
    </row>
    <row r="3304">
      <c r="A3304" s="0" t="s">
        <v>5994</v>
      </c>
      <c r="B3304" s="0" t="s">
        <v>5995</v>
      </c>
      <c r="C3304" s="5">
        <f>=HYPERLINK("https://nusmods.com/modules/SPH5001#timetable","Timetable")</f>
      </c>
      <c r="D3304" s="5"/>
      <c r="E3304" s="5">
        <f>=HYPERLINK("https://luminus.nus.edu.sg/modules/58c20f40-c52f-49f5-8ab4-8d3dcaf846d7","LumiNUS course site")</f>
      </c>
      <c r="F3304" s="0" t="s">
        <v>2460</v>
      </c>
      <c r="G3304" s="0" t="s">
        <v>2461</v>
      </c>
      <c r="H3304" s="3">
        <v>83</v>
      </c>
    </row>
    <row r="3305">
      <c r="A3305" s="0" t="s">
        <v>5996</v>
      </c>
      <c r="B3305" s="0" t="s">
        <v>5997</v>
      </c>
      <c r="C3305" s="5">
        <f>=HYPERLINK("https://nusmods.com/modules/SPH5002#timetable","Timetable")</f>
      </c>
      <c r="D3305" s="5"/>
      <c r="E3305" s="5">
        <f>=HYPERLINK("https://luminus.nus.edu.sg/modules/c615f14d-75de-4f45-b09e-5f6de7420d97","LumiNUS course site")</f>
      </c>
      <c r="F3305" s="0" t="s">
        <v>2460</v>
      </c>
      <c r="G3305" s="0" t="s">
        <v>2461</v>
      </c>
      <c r="H3305" s="3">
        <v>97</v>
      </c>
    </row>
    <row r="3306">
      <c r="A3306" s="0" t="s">
        <v>5998</v>
      </c>
      <c r="B3306" s="0" t="s">
        <v>5999</v>
      </c>
      <c r="C3306" s="5">
        <f>=HYPERLINK("https://nusmods.com/modules/SPH5003#timetable","Timetable")</f>
      </c>
      <c r="D3306" s="5"/>
      <c r="E3306" s="5">
        <f>=HYPERLINK("https://luminus.nus.edu.sg/modules/3ad2df59-79bc-42a5-9258-aa5efe9a9bb9","LumiNUS course site")</f>
      </c>
      <c r="F3306" s="0" t="s">
        <v>2460</v>
      </c>
      <c r="G3306" s="0" t="s">
        <v>2461</v>
      </c>
      <c r="H3306" s="3">
        <v>71</v>
      </c>
    </row>
    <row r="3307">
      <c r="A3307" s="0" t="s">
        <v>6000</v>
      </c>
      <c r="B3307" s="0" t="s">
        <v>6001</v>
      </c>
      <c r="C3307" s="5">
        <f>=HYPERLINK("https://nusmods.com/modules/SPH5005#timetable","Timetable")</f>
      </c>
      <c r="D3307" s="5"/>
      <c r="E3307" s="5">
        <f>=HYPERLINK("https://luminus.nus.edu.sg/modules/d762d999-996b-4ac9-8159-931f40113b47","LumiNUS course site")</f>
      </c>
      <c r="F3307" s="0" t="s">
        <v>2460</v>
      </c>
      <c r="G3307" s="0" t="s">
        <v>2461</v>
      </c>
      <c r="H3307" s="3">
        <v>76</v>
      </c>
    </row>
    <row r="3308">
      <c r="A3308" s="0" t="s">
        <v>6002</v>
      </c>
      <c r="B3308" s="0" t="s">
        <v>6003</v>
      </c>
      <c r="C3308" s="5">
        <f>=HYPERLINK("https://nusmods.com/modules/SPH5006#timetable","Timetable")</f>
      </c>
      <c r="D3308" s="5"/>
      <c r="E3308" s="5">
        <f>=HYPERLINK("https://luminus.nus.edu.sg/modules/eaaaffcd-db97-4ba3-b0ce-c0858cf26acf","LumiNUS course site")</f>
      </c>
      <c r="F3308" s="0" t="s">
        <v>2460</v>
      </c>
      <c r="G3308" s="0" t="s">
        <v>2461</v>
      </c>
      <c r="H3308" s="3">
        <v>56</v>
      </c>
    </row>
    <row r="3309">
      <c r="A3309" s="0" t="s">
        <v>6004</v>
      </c>
      <c r="B3309" s="0" t="s">
        <v>6005</v>
      </c>
      <c r="C3309" s="5">
        <f>=HYPERLINK("https://nusmods.com/modules/SPH5007#timetable","Timetable")</f>
      </c>
      <c r="D3309" s="5"/>
      <c r="E3309" s="5">
        <f>=HYPERLINK("https://luminus.nus.edu.sg/modules/1abef1bc-868a-4b8d-b85f-ed3757433b15","LumiNUS course site")</f>
      </c>
      <c r="F3309" s="0" t="s">
        <v>2460</v>
      </c>
      <c r="G3309" s="0" t="s">
        <v>2461</v>
      </c>
      <c r="H3309" s="3">
        <v>83</v>
      </c>
    </row>
    <row r="3310">
      <c r="A3310" s="0" t="s">
        <v>6006</v>
      </c>
      <c r="B3310" s="0" t="s">
        <v>6007</v>
      </c>
      <c r="C3310" s="5">
        <f>=HYPERLINK("https://nusmods.com/modules/SPH5008#timetable","Timetable")</f>
      </c>
      <c r="D3310" s="5"/>
      <c r="E3310" s="5">
        <f>=HYPERLINK("https://luminus.nus.edu.sg/modules/73ec8dce-84b4-4cf1-b0f1-346698d2c1e4","LumiNUS course site")</f>
      </c>
      <c r="F3310" s="0" t="s">
        <v>2460</v>
      </c>
      <c r="G3310" s="0" t="s">
        <v>2461</v>
      </c>
      <c r="H3310" s="3">
        <v>54</v>
      </c>
    </row>
    <row r="3311">
      <c r="A3311" s="0" t="s">
        <v>6008</v>
      </c>
      <c r="B3311" s="0" t="s">
        <v>6009</v>
      </c>
      <c r="C3311" s="5">
        <f>=HYPERLINK("https://nusmods.com/modules/SPH5406#timetable","Timetable")</f>
      </c>
      <c r="D3311" s="5"/>
      <c r="E3311" s="5">
        <f>=HYPERLINK("https://luminus.nus.edu.sg/modules/f9605526-b283-4a93-a0f4-dbec12cc5373","LumiNUS course site")</f>
      </c>
      <c r="F3311" s="0" t="s">
        <v>2460</v>
      </c>
      <c r="G3311" s="0" t="s">
        <v>2461</v>
      </c>
      <c r="H3311" s="3">
        <v>13</v>
      </c>
    </row>
    <row r="3312">
      <c r="A3312" s="0" t="s">
        <v>6010</v>
      </c>
      <c r="B3312" s="0" t="s">
        <v>6011</v>
      </c>
      <c r="C3312" s="5">
        <f>=HYPERLINK("https://nusmods.com/modules/SPH5408#timetable","Timetable")</f>
      </c>
      <c r="D3312" s="5"/>
      <c r="E3312" s="5">
        <f>=HYPERLINK("https://luminus.nus.edu.sg/modules/7e835b84-d041-445b-b15a-6bebab1a5698","LumiNUS course site")</f>
      </c>
      <c r="F3312" s="0" t="s">
        <v>2460</v>
      </c>
      <c r="G3312" s="0" t="s">
        <v>2461</v>
      </c>
      <c r="H3312" s="3">
        <v>20</v>
      </c>
    </row>
    <row r="3313">
      <c r="A3313" s="0" t="s">
        <v>6012</v>
      </c>
      <c r="B3313" s="0" t="s">
        <v>6013</v>
      </c>
      <c r="C3313" s="5">
        <f>=HYPERLINK("https://nusmods.com/modules/SPH5409#timetable","Timetable")</f>
      </c>
      <c r="D3313" s="5"/>
      <c r="E3313" s="5">
        <f>=HYPERLINK("https://luminus.nus.edu.sg/modules/b11b78c6-e315-414e-859d-0532c0eeeaee","LumiNUS course site")</f>
      </c>
      <c r="F3313" s="0" t="s">
        <v>2460</v>
      </c>
      <c r="G3313" s="0" t="s">
        <v>2461</v>
      </c>
      <c r="H3313" s="3">
        <v>20</v>
      </c>
    </row>
    <row r="3314">
      <c r="A3314" s="0" t="s">
        <v>6014</v>
      </c>
      <c r="B3314" s="0" t="s">
        <v>6015</v>
      </c>
      <c r="C3314" s="5">
        <f>=HYPERLINK("https://nusmods.com/modules/SPH5415#timetable","Timetable")</f>
      </c>
      <c r="D3314" s="5"/>
      <c r="E3314" s="5">
        <f>=HYPERLINK("https://luminus.nus.edu.sg/modules/7cccc972-ecc6-420f-ba89-d93712397936","LumiNUS course site")</f>
      </c>
      <c r="F3314" s="0" t="s">
        <v>2460</v>
      </c>
      <c r="G3314" s="0" t="s">
        <v>2461</v>
      </c>
      <c r="H3314" s="3">
        <v>18</v>
      </c>
    </row>
    <row r="3315">
      <c r="A3315" s="0" t="s">
        <v>6016</v>
      </c>
      <c r="B3315" s="0" t="s">
        <v>6017</v>
      </c>
      <c r="C3315" s="5">
        <f>=HYPERLINK("https://nusmods.com/modules/SPH5416#timetable","Timetable")</f>
      </c>
      <c r="D3315" s="5"/>
      <c r="E3315" s="5">
        <f>=HYPERLINK("https://luminus.nus.edu.sg/modules/2d2d4c6e-88f5-4bd4-a0c2-1072e66adea1","LumiNUS course site")</f>
      </c>
      <c r="F3315" s="0" t="s">
        <v>2460</v>
      </c>
      <c r="G3315" s="0" t="s">
        <v>2461</v>
      </c>
      <c r="H3315" s="3">
        <v>11</v>
      </c>
    </row>
    <row r="3316">
      <c r="A3316" s="0" t="s">
        <v>6018</v>
      </c>
      <c r="B3316" s="0" t="s">
        <v>6019</v>
      </c>
      <c r="C3316" s="5">
        <f>=HYPERLINK("https://nusmods.com/modules/SPH5420#timetable","Timetable")</f>
      </c>
      <c r="D3316" s="5"/>
      <c r="E3316" s="5">
        <f>=HYPERLINK("https://luminus.nus.edu.sg/modules/7349f39f-5e17-458e-8b23-f8de84532437","LumiNUS course site")</f>
      </c>
      <c r="F3316" s="0" t="s">
        <v>2460</v>
      </c>
      <c r="G3316" s="0" t="s">
        <v>2461</v>
      </c>
      <c r="H3316" s="3">
        <v>13</v>
      </c>
    </row>
    <row r="3317">
      <c r="A3317" s="0" t="s">
        <v>6020</v>
      </c>
      <c r="B3317" s="0" t="s">
        <v>6021</v>
      </c>
      <c r="C3317" s="5">
        <f>=HYPERLINK("https://nusmods.com/modules/SPH5801#timetable","Timetable")</f>
      </c>
      <c r="D3317" s="5"/>
      <c r="E3317" s="5"/>
      <c r="F3317" s="0" t="s">
        <v>2460</v>
      </c>
      <c r="G3317" s="0" t="s">
        <v>2461</v>
      </c>
      <c r="H3317" s="3">
        <v>0</v>
      </c>
    </row>
    <row r="3318">
      <c r="A3318" s="0" t="s">
        <v>6022</v>
      </c>
      <c r="B3318" s="0" t="s">
        <v>6023</v>
      </c>
      <c r="C3318" s="5">
        <f>=HYPERLINK("https://nusmods.com/modules/SPH5890A#timetable","Timetable")</f>
      </c>
      <c r="D3318" s="5"/>
      <c r="E3318" s="5"/>
      <c r="F3318" s="0" t="s">
        <v>2460</v>
      </c>
      <c r="G3318" s="0" t="s">
        <v>2461</v>
      </c>
      <c r="H3318" s="3">
        <v>0</v>
      </c>
    </row>
    <row r="3319">
      <c r="A3319" s="0" t="s">
        <v>6024</v>
      </c>
      <c r="B3319" s="0" t="s">
        <v>6025</v>
      </c>
      <c r="C3319" s="5">
        <f>=HYPERLINK("https://nusmods.com/modules/SPH5890B#timetable","Timetable")</f>
      </c>
      <c r="D3319" s="5"/>
      <c r="E3319" s="5"/>
      <c r="F3319" s="0" t="s">
        <v>2460</v>
      </c>
      <c r="G3319" s="0" t="s">
        <v>2461</v>
      </c>
      <c r="H3319" s="3">
        <v>0</v>
      </c>
    </row>
    <row r="3320">
      <c r="A3320" s="0" t="s">
        <v>6026</v>
      </c>
      <c r="B3320" s="0" t="s">
        <v>6027</v>
      </c>
      <c r="C3320" s="5">
        <f>=HYPERLINK("https://nusmods.com/modules/SPH5890C#timetable","Timetable")</f>
      </c>
      <c r="D3320" s="5"/>
      <c r="E3320" s="5"/>
      <c r="F3320" s="0" t="s">
        <v>2460</v>
      </c>
      <c r="G3320" s="0" t="s">
        <v>2461</v>
      </c>
      <c r="H3320" s="3">
        <v>0</v>
      </c>
    </row>
    <row r="3321">
      <c r="A3321" s="0" t="s">
        <v>6028</v>
      </c>
      <c r="B3321" s="0" t="s">
        <v>6029</v>
      </c>
      <c r="C3321" s="5">
        <f>=HYPERLINK("https://nusmods.com/modules/SPH5890D#timetable","Timetable")</f>
      </c>
      <c r="D3321" s="5"/>
      <c r="E3321" s="5"/>
      <c r="F3321" s="0" t="s">
        <v>2460</v>
      </c>
      <c r="G3321" s="0" t="s">
        <v>2461</v>
      </c>
      <c r="H3321" s="3">
        <v>0</v>
      </c>
    </row>
    <row r="3322">
      <c r="A3322" s="0" t="s">
        <v>6030</v>
      </c>
      <c r="B3322" s="0" t="s">
        <v>6031</v>
      </c>
      <c r="C3322" s="5">
        <f>=HYPERLINK("https://nusmods.com/modules/SPH5890E#timetable","Timetable")</f>
      </c>
      <c r="D3322" s="5"/>
      <c r="E3322" s="5"/>
      <c r="F3322" s="0" t="s">
        <v>2460</v>
      </c>
      <c r="G3322" s="0" t="s">
        <v>2461</v>
      </c>
      <c r="H3322" s="3">
        <v>0</v>
      </c>
    </row>
    <row r="3323">
      <c r="A3323" s="0" t="s">
        <v>6032</v>
      </c>
      <c r="B3323" s="0" t="s">
        <v>6033</v>
      </c>
      <c r="C3323" s="5">
        <f>=HYPERLINK("https://nusmods.com/modules/SPH5890F#timetable","Timetable")</f>
      </c>
      <c r="D3323" s="5"/>
      <c r="E3323" s="5"/>
      <c r="F3323" s="0" t="s">
        <v>2460</v>
      </c>
      <c r="G3323" s="0" t="s">
        <v>2461</v>
      </c>
      <c r="H3323" s="3">
        <v>0</v>
      </c>
    </row>
    <row r="3324">
      <c r="A3324" s="0" t="s">
        <v>6034</v>
      </c>
      <c r="B3324" s="0" t="s">
        <v>6035</v>
      </c>
      <c r="C3324" s="5">
        <f>=HYPERLINK("https://nusmods.com/modules/SPH5890G#timetable","Timetable")</f>
      </c>
      <c r="D3324" s="5"/>
      <c r="E3324" s="5"/>
      <c r="F3324" s="0" t="s">
        <v>2460</v>
      </c>
      <c r="G3324" s="0" t="s">
        <v>2461</v>
      </c>
      <c r="H3324" s="3">
        <v>0</v>
      </c>
    </row>
    <row r="3325">
      <c r="A3325" s="0" t="s">
        <v>6036</v>
      </c>
      <c r="B3325" s="0" t="s">
        <v>6037</v>
      </c>
      <c r="C3325" s="5">
        <f>=HYPERLINK("https://nusmods.com/modules/SPH6201A#timetable","Timetable")</f>
      </c>
      <c r="D3325" s="5"/>
      <c r="E3325" s="5"/>
      <c r="F3325" s="0" t="s">
        <v>2460</v>
      </c>
      <c r="G3325" s="0" t="s">
        <v>2461</v>
      </c>
      <c r="H3325" s="3">
        <v>0</v>
      </c>
    </row>
    <row r="3326">
      <c r="A3326" s="0" t="s">
        <v>6038</v>
      </c>
      <c r="B3326" s="0" t="s">
        <v>6039</v>
      </c>
      <c r="C3326" s="5">
        <f>=HYPERLINK("https://nusmods.com/modules/SPH6201B#timetable","Timetable")</f>
      </c>
      <c r="D3326" s="5"/>
      <c r="E3326" s="5"/>
      <c r="F3326" s="0" t="s">
        <v>2460</v>
      </c>
      <c r="G3326" s="0" t="s">
        <v>2461</v>
      </c>
      <c r="H3326" s="3">
        <v>0</v>
      </c>
    </row>
    <row r="3327">
      <c r="A3327" s="0" t="s">
        <v>6040</v>
      </c>
      <c r="B3327" s="0" t="s">
        <v>6041</v>
      </c>
      <c r="C3327" s="5">
        <f>=HYPERLINK("https://nusmods.com/modules/SPH6201C#timetable","Timetable")</f>
      </c>
      <c r="D3327" s="5"/>
      <c r="E3327" s="5"/>
      <c r="F3327" s="0" t="s">
        <v>2460</v>
      </c>
      <c r="G3327" s="0" t="s">
        <v>2461</v>
      </c>
      <c r="H3327" s="3">
        <v>0</v>
      </c>
    </row>
    <row r="3328">
      <c r="A3328" s="0" t="s">
        <v>6042</v>
      </c>
      <c r="B3328" s="0" t="s">
        <v>6043</v>
      </c>
      <c r="C3328" s="5">
        <f>=HYPERLINK("https://nusmods.com/modules/SPH6201D#timetable","Timetable")</f>
      </c>
      <c r="D3328" s="5"/>
      <c r="E3328" s="5"/>
      <c r="F3328" s="0" t="s">
        <v>2460</v>
      </c>
      <c r="G3328" s="0" t="s">
        <v>2461</v>
      </c>
      <c r="H3328" s="3">
        <v>0</v>
      </c>
    </row>
    <row r="3329">
      <c r="A3329" s="0" t="s">
        <v>6044</v>
      </c>
      <c r="B3329" s="0" t="s">
        <v>6045</v>
      </c>
      <c r="C3329" s="5">
        <f>=HYPERLINK("https://nusmods.com/modules/SPH6201E#timetable","Timetable")</f>
      </c>
      <c r="D3329" s="5"/>
      <c r="E3329" s="5"/>
      <c r="F3329" s="0" t="s">
        <v>2460</v>
      </c>
      <c r="G3329" s="0" t="s">
        <v>2461</v>
      </c>
      <c r="H3329" s="3">
        <v>0</v>
      </c>
    </row>
    <row r="3330">
      <c r="A3330" s="0" t="s">
        <v>6046</v>
      </c>
      <c r="B3330" s="0" t="s">
        <v>6047</v>
      </c>
      <c r="C3330" s="5">
        <f>=HYPERLINK("https://nusmods.com/modules/SPH6201F#timetable","Timetable")</f>
      </c>
      <c r="D3330" s="5"/>
      <c r="E3330" s="5"/>
      <c r="F3330" s="0" t="s">
        <v>2460</v>
      </c>
      <c r="G3330" s="0" t="s">
        <v>2461</v>
      </c>
      <c r="H3330" s="3">
        <v>0</v>
      </c>
    </row>
    <row r="3331">
      <c r="A3331" s="0" t="s">
        <v>6048</v>
      </c>
      <c r="B3331" s="0" t="s">
        <v>6049</v>
      </c>
      <c r="C3331" s="5">
        <f>=HYPERLINK("https://nusmods.com/modules/SPH6201G#timetable","Timetable")</f>
      </c>
      <c r="D3331" s="5"/>
      <c r="E3331" s="5"/>
      <c r="F3331" s="0" t="s">
        <v>2460</v>
      </c>
      <c r="G3331" s="0" t="s">
        <v>2461</v>
      </c>
      <c r="H3331" s="3">
        <v>0</v>
      </c>
    </row>
    <row r="3332">
      <c r="A3332" s="0" t="s">
        <v>6050</v>
      </c>
      <c r="B3332" s="0" t="s">
        <v>6051</v>
      </c>
      <c r="C3332" s="5">
        <f>=HYPERLINK("https://nusmods.com/modules/SPH6770#timetable","Timetable")</f>
      </c>
      <c r="D3332" s="5"/>
      <c r="E3332" s="5">
        <f>=HYPERLINK("https://luminus.nus.edu.sg/modules/241e6926-d4e7-49b2-bcb1-f1f79f21f672","LumiNUS course site")</f>
      </c>
      <c r="F3332" s="0" t="s">
        <v>2460</v>
      </c>
      <c r="G3332" s="0" t="s">
        <v>2461</v>
      </c>
      <c r="H3332" s="3">
        <v>20</v>
      </c>
    </row>
    <row r="3333">
      <c r="A3333" s="0" t="s">
        <v>6052</v>
      </c>
      <c r="B3333" s="0" t="s">
        <v>6053</v>
      </c>
      <c r="C3333" s="5">
        <f>=HYPERLINK("https://nusmods.com/modules/ST1131#timetable","Timetable")</f>
      </c>
      <c r="D3333" s="5">
        <f>=HYPERLINK("https://canvas.nus.edu.sg/courses/22386","Canvas course site")</f>
      </c>
      <c r="E3333" s="5"/>
      <c r="F3333" s="0" t="s">
        <v>266</v>
      </c>
      <c r="G3333" s="0" t="s">
        <v>1616</v>
      </c>
      <c r="H3333" s="3">
        <v>164</v>
      </c>
    </row>
    <row r="3334">
      <c r="A3334" s="0" t="s">
        <v>6054</v>
      </c>
      <c r="B3334" s="0" t="s">
        <v>3922</v>
      </c>
      <c r="C3334" s="5">
        <f>=HYPERLINK("https://nusmods.com/modules/ST2131#timetable","Timetable")</f>
      </c>
      <c r="D3334" s="5"/>
      <c r="E3334" s="5">
        <f>=HYPERLINK("https://luminus.nus.edu.sg/modules/1cd4da43-f7c5-43c0-aac9-04d5e82ac151","LumiNUS course site")</f>
      </c>
      <c r="F3334" s="0" t="s">
        <v>266</v>
      </c>
      <c r="G3334" s="0" t="s">
        <v>1616</v>
      </c>
      <c r="H3334" s="3">
        <v>184</v>
      </c>
    </row>
    <row r="3335">
      <c r="A3335" s="0" t="s">
        <v>6055</v>
      </c>
      <c r="B3335" s="0" t="s">
        <v>6056</v>
      </c>
      <c r="C3335" s="5">
        <f>=HYPERLINK("https://nusmods.com/modules/ST2132#timetable","Timetable")</f>
      </c>
      <c r="D3335" s="5">
        <f>=HYPERLINK("https://canvas.nus.edu.sg/courses/25600","Canvas course site")</f>
      </c>
      <c r="E3335" s="5"/>
      <c r="F3335" s="0" t="s">
        <v>266</v>
      </c>
      <c r="G3335" s="0" t="s">
        <v>1616</v>
      </c>
      <c r="H3335" s="3">
        <v>305</v>
      </c>
    </row>
    <row r="3336">
      <c r="A3336" s="0" t="s">
        <v>6057</v>
      </c>
      <c r="B3336" s="0" t="s">
        <v>6058</v>
      </c>
      <c r="C3336" s="5">
        <f>=HYPERLINK("https://nusmods.com/modules/ST2137#timetable","Timetable")</f>
      </c>
      <c r="D3336" s="5">
        <f>=HYPERLINK("https://canvas.nus.edu.sg/courses/25605","Canvas course site")</f>
      </c>
      <c r="E3336" s="5">
        <f>=HYPERLINK("https://luminus.nus.edu.sg/modules/e6ccf097-e309-4cef-b08b-ed07454bc0db","LumiNUS course site")</f>
      </c>
      <c r="F3336" s="0" t="s">
        <v>266</v>
      </c>
      <c r="G3336" s="0" t="s">
        <v>1616</v>
      </c>
      <c r="H3336" s="3">
        <v>68</v>
      </c>
    </row>
    <row r="3337">
      <c r="A3337" s="0" t="s">
        <v>6059</v>
      </c>
      <c r="B3337" s="0" t="s">
        <v>6060</v>
      </c>
      <c r="C3337" s="5">
        <f>=HYPERLINK("https://nusmods.com/modules/ST2288#timetable","Timetable")</f>
      </c>
      <c r="D3337" s="5"/>
      <c r="E3337" s="5">
        <f>=HYPERLINK("https://luminus.nus.edu.sg/modules/6df89e42-46a2-4ae3-96d8-f2fe5169e074","LumiNUS course site")</f>
      </c>
      <c r="F3337" s="0" t="s">
        <v>266</v>
      </c>
      <c r="G3337" s="0" t="s">
        <v>1616</v>
      </c>
      <c r="H3337" s="3">
        <v>0</v>
      </c>
    </row>
    <row r="3338">
      <c r="A3338" s="0" t="s">
        <v>6061</v>
      </c>
      <c r="B3338" s="0" t="s">
        <v>6062</v>
      </c>
      <c r="C3338" s="5">
        <f>=HYPERLINK("https://nusmods.com/modules/ST2289#timetable","Timetable")</f>
      </c>
      <c r="D3338" s="5"/>
      <c r="E3338" s="5">
        <f>=HYPERLINK("https://luminus.nus.edu.sg/modules/6df89e42-46a2-4ae3-96d8-f2fe5169e074","LumiNUS course site")</f>
      </c>
      <c r="F3338" s="0" t="s">
        <v>266</v>
      </c>
      <c r="G3338" s="0" t="s">
        <v>1616</v>
      </c>
      <c r="H3338" s="3">
        <v>0</v>
      </c>
    </row>
    <row r="3339">
      <c r="A3339" s="0" t="s">
        <v>6063</v>
      </c>
      <c r="B3339" s="0" t="s">
        <v>6064</v>
      </c>
      <c r="C3339" s="5">
        <f>=HYPERLINK("https://nusmods.com/modules/ST2334#timetable","Timetable")</f>
      </c>
      <c r="D3339" s="5">
        <f>=HYPERLINK("https://canvas.nus.edu.sg/courses/25622","Canvas course site")</f>
      </c>
      <c r="E3339" s="5"/>
      <c r="F3339" s="0" t="s">
        <v>266</v>
      </c>
      <c r="G3339" s="0" t="s">
        <v>1616</v>
      </c>
      <c r="H3339" s="3">
        <v>871</v>
      </c>
    </row>
    <row r="3340">
      <c r="A3340" s="0" t="s">
        <v>6065</v>
      </c>
      <c r="B3340" s="0" t="s">
        <v>6066</v>
      </c>
      <c r="C3340" s="5">
        <f>=HYPERLINK("https://nusmods.com/modules/ST3131#timetable","Timetable")</f>
      </c>
      <c r="D3340" s="5">
        <f>=HYPERLINK("https://canvas.nus.edu.sg/courses/25627","Canvas course site")</f>
      </c>
      <c r="E3340" s="5"/>
      <c r="F3340" s="0" t="s">
        <v>266</v>
      </c>
      <c r="G3340" s="0" t="s">
        <v>1616</v>
      </c>
      <c r="H3340" s="3">
        <v>142</v>
      </c>
    </row>
    <row r="3341">
      <c r="A3341" s="0" t="s">
        <v>6067</v>
      </c>
      <c r="B3341" s="0" t="s">
        <v>6068</v>
      </c>
      <c r="C3341" s="5">
        <f>=HYPERLINK("https://nusmods.com/modules/ST3239#timetable","Timetable")</f>
      </c>
      <c r="D3341" s="5">
        <f>=HYPERLINK("https://canvas.nus.edu.sg/courses/25631","Canvas course site")</f>
      </c>
      <c r="E3341" s="5"/>
      <c r="F3341" s="0" t="s">
        <v>266</v>
      </c>
      <c r="G3341" s="0" t="s">
        <v>1616</v>
      </c>
      <c r="H3341" s="3">
        <v>55</v>
      </c>
    </row>
    <row r="3342">
      <c r="A3342" s="0" t="s">
        <v>6069</v>
      </c>
      <c r="B3342" s="0" t="s">
        <v>6070</v>
      </c>
      <c r="C3342" s="5">
        <f>=HYPERLINK("https://nusmods.com/modules/ST3248#timetable","Timetable")</f>
      </c>
      <c r="D3342" s="5">
        <f>=HYPERLINK("https://canvas.nus.edu.sg/courses/25636","Canvas course site")</f>
      </c>
      <c r="E3342" s="5"/>
      <c r="F3342" s="0" t="s">
        <v>266</v>
      </c>
      <c r="G3342" s="0" t="s">
        <v>1616</v>
      </c>
      <c r="H3342" s="3">
        <v>126</v>
      </c>
    </row>
    <row r="3343">
      <c r="A3343" s="0" t="s">
        <v>6071</v>
      </c>
      <c r="B3343" s="0" t="s">
        <v>6072</v>
      </c>
      <c r="C3343" s="5">
        <f>=HYPERLINK("https://nusmods.com/modules/ST3288#timetable","Timetable")</f>
      </c>
      <c r="D3343" s="5"/>
      <c r="E3343" s="5">
        <f>=HYPERLINK("https://luminus.nus.edu.sg/modules/6df89e42-46a2-4ae3-96d8-f2fe5169e074","LumiNUS course site")</f>
      </c>
      <c r="F3343" s="0" t="s">
        <v>266</v>
      </c>
      <c r="G3343" s="0" t="s">
        <v>1616</v>
      </c>
      <c r="H3343" s="3">
        <v>2</v>
      </c>
    </row>
    <row r="3344">
      <c r="A3344" s="0" t="s">
        <v>6073</v>
      </c>
      <c r="B3344" s="0" t="s">
        <v>6074</v>
      </c>
      <c r="C3344" s="5">
        <f>=HYPERLINK("https://nusmods.com/modules/ST3289#timetable","Timetable")</f>
      </c>
      <c r="D3344" s="5"/>
      <c r="E3344" s="5">
        <f>=HYPERLINK("https://luminus.nus.edu.sg/modules/6df89e42-46a2-4ae3-96d8-f2fe5169e074","LumiNUS course site")</f>
      </c>
      <c r="F3344" s="0" t="s">
        <v>266</v>
      </c>
      <c r="G3344" s="0" t="s">
        <v>1616</v>
      </c>
      <c r="H3344" s="3">
        <v>0</v>
      </c>
    </row>
    <row r="3345">
      <c r="A3345" s="0" t="s">
        <v>6075</v>
      </c>
      <c r="B3345" s="0" t="s">
        <v>1089</v>
      </c>
      <c r="C3345" s="5">
        <f>=HYPERLINK("https://nusmods.com/modules/ST3312#timetable","Timetable")</f>
      </c>
      <c r="D3345" s="5"/>
      <c r="E3345" s="5"/>
      <c r="F3345" s="0" t="s">
        <v>266</v>
      </c>
      <c r="G3345" s="0" t="s">
        <v>1616</v>
      </c>
      <c r="H3345" s="3">
        <v>1</v>
      </c>
    </row>
    <row r="3346">
      <c r="A3346" s="0" t="s">
        <v>6076</v>
      </c>
      <c r="B3346" s="0" t="s">
        <v>6077</v>
      </c>
      <c r="C3346" s="5">
        <f>=HYPERLINK("https://nusmods.com/modules/ST4199#timetable","Timetable")</f>
      </c>
      <c r="D3346" s="5">
        <f>=HYPERLINK("https://canvas.nus.edu.sg/courses/23810","Canvas course site")</f>
      </c>
      <c r="E3346" s="5">
        <f>=HYPERLINK("https://luminus.nus.edu.sg/modules/7a8e2ab2-7b40-4f30-8802-8d5e4e5740a3","LumiNUS course site")</f>
      </c>
      <c r="F3346" s="0" t="s">
        <v>266</v>
      </c>
      <c r="G3346" s="0" t="s">
        <v>1616</v>
      </c>
      <c r="H3346" s="3">
        <v>8</v>
      </c>
    </row>
    <row r="3347">
      <c r="A3347" s="0" t="s">
        <v>6078</v>
      </c>
      <c r="B3347" s="0" t="s">
        <v>6079</v>
      </c>
      <c r="C3347" s="5">
        <f>=HYPERLINK("https://nusmods.com/modules/ST4231#timetable","Timetable")</f>
      </c>
      <c r="D3347" s="5">
        <f>=HYPERLINK("https://canvas.nus.edu.sg/courses/25661","Canvas course site")</f>
      </c>
      <c r="E3347" s="5">
        <f>=HYPERLINK("https://luminus.nus.edu.sg/modules/27b60e18-1fe3-431f-8847-d03a7adc3be5","LumiNUS course site")</f>
      </c>
      <c r="F3347" s="0" t="s">
        <v>266</v>
      </c>
      <c r="G3347" s="0" t="s">
        <v>1616</v>
      </c>
      <c r="H3347" s="3">
        <v>91</v>
      </c>
    </row>
    <row r="3348">
      <c r="A3348" s="0" t="s">
        <v>6080</v>
      </c>
      <c r="B3348" s="0" t="s">
        <v>6081</v>
      </c>
      <c r="C3348" s="5">
        <f>=HYPERLINK("https://nusmods.com/modules/ST4233#timetable","Timetable")</f>
      </c>
      <c r="D3348" s="5"/>
      <c r="E3348" s="5">
        <f>=HYPERLINK("https://luminus.nus.edu.sg/modules/27925275-9f90-457a-9e42-719f152e704b","LumiNUS course site")</f>
      </c>
      <c r="F3348" s="0" t="s">
        <v>266</v>
      </c>
      <c r="G3348" s="0" t="s">
        <v>1616</v>
      </c>
      <c r="H3348" s="3">
        <v>25</v>
      </c>
    </row>
    <row r="3349">
      <c r="A3349" s="0" t="s">
        <v>6082</v>
      </c>
      <c r="B3349" s="0" t="s">
        <v>6083</v>
      </c>
      <c r="C3349" s="5">
        <f>=HYPERLINK("https://nusmods.com/modules/ST4245#timetable","Timetable")</f>
      </c>
      <c r="D3349" s="5">
        <f>=HYPERLINK("https://canvas.nus.edu.sg/courses/25676","Canvas course site")</f>
      </c>
      <c r="E3349" s="5"/>
      <c r="F3349" s="0" t="s">
        <v>266</v>
      </c>
      <c r="G3349" s="0" t="s">
        <v>1616</v>
      </c>
      <c r="H3349" s="3">
        <v>56</v>
      </c>
    </row>
    <row r="3350">
      <c r="A3350" s="0" t="s">
        <v>6084</v>
      </c>
      <c r="B3350" s="0" t="s">
        <v>6085</v>
      </c>
      <c r="C3350" s="5">
        <f>=HYPERLINK("https://nusmods.com/modules/ST4250#timetable","Timetable")</f>
      </c>
      <c r="D3350" s="5"/>
      <c r="E3350" s="5">
        <f>=HYPERLINK("https://luminus.nus.edu.sg/modules/f72af239-2e31-44ad-a38b-03ae02338f09","LumiNUS course site")</f>
      </c>
      <c r="F3350" s="0" t="s">
        <v>266</v>
      </c>
      <c r="G3350" s="0" t="s">
        <v>1616</v>
      </c>
      <c r="H3350" s="3">
        <v>37</v>
      </c>
    </row>
    <row r="3351">
      <c r="A3351" s="0" t="s">
        <v>6086</v>
      </c>
      <c r="B3351" s="0" t="s">
        <v>6087</v>
      </c>
      <c r="C3351" s="5">
        <f>=HYPERLINK("https://nusmods.com/modules/ST4253#timetable","Timetable")</f>
      </c>
      <c r="D3351" s="5">
        <f>=HYPERLINK("https://canvas.nus.edu.sg/courses/25685","Canvas course site")</f>
      </c>
      <c r="E3351" s="5"/>
      <c r="F3351" s="0" t="s">
        <v>266</v>
      </c>
      <c r="G3351" s="0" t="s">
        <v>1616</v>
      </c>
      <c r="H3351" s="3">
        <v>56</v>
      </c>
    </row>
    <row r="3352">
      <c r="A3352" s="0" t="s">
        <v>6088</v>
      </c>
      <c r="B3352" s="0" t="s">
        <v>6089</v>
      </c>
      <c r="C3352" s="5">
        <f>=HYPERLINK("https://nusmods.com/modules/ST4299#timetable","Timetable")</f>
      </c>
      <c r="D3352" s="5"/>
      <c r="E3352" s="5">
        <f>=HYPERLINK("https://luminus.nus.edu.sg/modules/d83fbd2a-6a23-4adb-81e9-6c1fc6e4e3b1","LumiNUS course site")</f>
      </c>
      <c r="F3352" s="0" t="s">
        <v>266</v>
      </c>
      <c r="G3352" s="0" t="s">
        <v>1616</v>
      </c>
      <c r="H3352" s="3">
        <v>4</v>
      </c>
    </row>
    <row r="3353">
      <c r="A3353" s="0" t="s">
        <v>6090</v>
      </c>
      <c r="B3353" s="0" t="s">
        <v>6091</v>
      </c>
      <c r="C3353" s="5">
        <f>=HYPERLINK("https://nusmods.com/modules/ST5188#timetable","Timetable")</f>
      </c>
      <c r="D3353" s="5">
        <f>=HYPERLINK("https://canvas.nus.edu.sg/courses/25695","Canvas course site")</f>
      </c>
      <c r="E3353" s="5"/>
      <c r="F3353" s="0" t="s">
        <v>266</v>
      </c>
      <c r="G3353" s="0" t="s">
        <v>1616</v>
      </c>
      <c r="H3353" s="3">
        <v>120</v>
      </c>
    </row>
    <row r="3354">
      <c r="A3354" s="0" t="s">
        <v>6092</v>
      </c>
      <c r="B3354" s="0" t="s">
        <v>6093</v>
      </c>
      <c r="C3354" s="5">
        <f>=HYPERLINK("https://nusmods.com/modules/ST5199#timetable","Timetable")</f>
      </c>
      <c r="D3354" s="5"/>
      <c r="E3354" s="5">
        <f>=HYPERLINK("https://luminus.nus.edu.sg/modules/d277b3c4-4193-4435-9edb-c7bc29000cf1","LumiNUS course site")</f>
      </c>
      <c r="F3354" s="0" t="s">
        <v>266</v>
      </c>
      <c r="G3354" s="0" t="s">
        <v>1616</v>
      </c>
      <c r="H3354" s="3">
        <v>1</v>
      </c>
    </row>
    <row r="3355">
      <c r="A3355" s="0" t="s">
        <v>6094</v>
      </c>
      <c r="B3355" s="0" t="s">
        <v>6095</v>
      </c>
      <c r="C3355" s="5">
        <f>=HYPERLINK("https://nusmods.com/modules/ST5201#timetable","Timetable")</f>
      </c>
      <c r="D3355" s="5">
        <f>=HYPERLINK("https://canvas.nus.edu.sg/courses/25705","Canvas course site")</f>
      </c>
      <c r="E3355" s="5"/>
      <c r="F3355" s="0" t="s">
        <v>266</v>
      </c>
      <c r="G3355" s="0" t="s">
        <v>1616</v>
      </c>
      <c r="H3355" s="3">
        <v>91</v>
      </c>
    </row>
    <row r="3356">
      <c r="A3356" s="0" t="s">
        <v>6096</v>
      </c>
      <c r="B3356" s="0" t="s">
        <v>6095</v>
      </c>
      <c r="C3356" s="5">
        <f>=HYPERLINK("https://nusmods.com/modules/ST5201X#timetable","Timetable")</f>
      </c>
      <c r="D3356" s="5">
        <f>=HYPERLINK("https://canvas.nus.edu.sg/courses/25710","Canvas course site")</f>
      </c>
      <c r="E3356" s="5"/>
      <c r="F3356" s="0" t="s">
        <v>266</v>
      </c>
      <c r="G3356" s="0" t="s">
        <v>1616</v>
      </c>
      <c r="H3356" s="3">
        <v>191</v>
      </c>
    </row>
    <row r="3357">
      <c r="A3357" s="0" t="s">
        <v>6097</v>
      </c>
      <c r="B3357" s="0" t="s">
        <v>6098</v>
      </c>
      <c r="C3357" s="5">
        <f>=HYPERLINK("https://nusmods.com/modules/ST5210#timetable","Timetable")</f>
      </c>
      <c r="D3357" s="5"/>
      <c r="E3357" s="5">
        <f>=HYPERLINK("https://luminus.nus.edu.sg/modules/91821bc1-59e0-4396-b69f-f964f67863cc","LumiNUS course site")</f>
      </c>
      <c r="F3357" s="0" t="s">
        <v>266</v>
      </c>
      <c r="G3357" s="0" t="s">
        <v>1616</v>
      </c>
      <c r="H3357" s="3">
        <v>250</v>
      </c>
    </row>
    <row r="3358">
      <c r="A3358" s="0" t="s">
        <v>6099</v>
      </c>
      <c r="B3358" s="0" t="s">
        <v>6100</v>
      </c>
      <c r="C3358" s="5">
        <f>=HYPERLINK("https://nusmods.com/modules/ST5211#timetable","Timetable")</f>
      </c>
      <c r="D3358" s="5"/>
      <c r="E3358" s="5">
        <f>=HYPERLINK("https://luminus.nus.edu.sg/modules/87258a04-212c-46ca-a354-58c64febc207","LumiNUS course site")</f>
      </c>
      <c r="F3358" s="0" t="s">
        <v>266</v>
      </c>
      <c r="G3358" s="0" t="s">
        <v>1616</v>
      </c>
      <c r="H3358" s="3">
        <v>4</v>
      </c>
    </row>
    <row r="3359">
      <c r="A3359" s="0" t="s">
        <v>6101</v>
      </c>
      <c r="B3359" s="0" t="s">
        <v>6100</v>
      </c>
      <c r="C3359" s="5">
        <f>=HYPERLINK("https://nusmods.com/modules/ST5211X#timetable","Timetable")</f>
      </c>
      <c r="D3359" s="5"/>
      <c r="E3359" s="5">
        <f>=HYPERLINK("https://luminus.nus.edu.sg/modules/87258a04-212c-46ca-a354-58c64febc207","LumiNUS course site")</f>
      </c>
      <c r="F3359" s="0" t="s">
        <v>266</v>
      </c>
      <c r="G3359" s="0" t="s">
        <v>1616</v>
      </c>
      <c r="H3359" s="3">
        <v>191</v>
      </c>
    </row>
    <row r="3360">
      <c r="A3360" s="0" t="s">
        <v>6102</v>
      </c>
      <c r="B3360" s="0" t="s">
        <v>6103</v>
      </c>
      <c r="C3360" s="5">
        <f>=HYPERLINK("https://nusmods.com/modules/ST5213#timetable","Timetable")</f>
      </c>
      <c r="D3360" s="5">
        <f>=HYPERLINK("https://canvas.nus.edu.sg/courses/25730","Canvas course site")</f>
      </c>
      <c r="E3360" s="5"/>
      <c r="F3360" s="0" t="s">
        <v>266</v>
      </c>
      <c r="G3360" s="0" t="s">
        <v>1616</v>
      </c>
      <c r="H3360" s="3">
        <v>194</v>
      </c>
    </row>
    <row r="3361">
      <c r="A3361" s="0" t="s">
        <v>6104</v>
      </c>
      <c r="B3361" s="0" t="s">
        <v>6105</v>
      </c>
      <c r="C3361" s="5">
        <f>=HYPERLINK("https://nusmods.com/modules/ST5214#timetable","Timetable")</f>
      </c>
      <c r="D3361" s="5">
        <f>=HYPERLINK("https://canvas.nus.edu.sg/courses/25735","Canvas course site")</f>
      </c>
      <c r="E3361" s="5"/>
      <c r="F3361" s="0" t="s">
        <v>266</v>
      </c>
      <c r="G3361" s="0" t="s">
        <v>1616</v>
      </c>
      <c r="H3361" s="3">
        <v>19</v>
      </c>
    </row>
    <row r="3362">
      <c r="A3362" s="0" t="s">
        <v>6106</v>
      </c>
      <c r="B3362" s="0" t="s">
        <v>6107</v>
      </c>
      <c r="C3362" s="5">
        <f>=HYPERLINK("https://nusmods.com/modules/ST5215#timetable","Timetable")</f>
      </c>
      <c r="D3362" s="5">
        <f>=HYPERLINK("https://canvas.nus.edu.sg/courses/25740","Canvas course site")</f>
      </c>
      <c r="E3362" s="5"/>
      <c r="F3362" s="0" t="s">
        <v>266</v>
      </c>
      <c r="G3362" s="0" t="s">
        <v>1616</v>
      </c>
      <c r="H3362" s="3">
        <v>18</v>
      </c>
    </row>
    <row r="3363">
      <c r="A3363" s="0" t="s">
        <v>6108</v>
      </c>
      <c r="B3363" s="0" t="s">
        <v>6109</v>
      </c>
      <c r="C3363" s="5">
        <f>=HYPERLINK("https://nusmods.com/modules/ST5222#timetable","Timetable")</f>
      </c>
      <c r="D3363" s="5"/>
      <c r="E3363" s="5">
        <f>=HYPERLINK("https://luminus.nus.edu.sg/modules/89011abb-0f55-4c82-ac32-5794df4a34de","LumiNUS course site")</f>
      </c>
      <c r="F3363" s="0" t="s">
        <v>266</v>
      </c>
      <c r="G3363" s="0" t="s">
        <v>1616</v>
      </c>
      <c r="H3363" s="3">
        <v>19</v>
      </c>
    </row>
    <row r="3364">
      <c r="A3364" s="0" t="s">
        <v>6110</v>
      </c>
      <c r="B3364" s="0" t="s">
        <v>6111</v>
      </c>
      <c r="C3364" s="5">
        <f>=HYPERLINK("https://nusmods.com/modules/ST5226#timetable","Timetable")</f>
      </c>
      <c r="D3364" s="5">
        <f>=HYPERLINK("https://canvas.nus.edu.sg/courses/25750","Canvas course site")</f>
      </c>
      <c r="E3364" s="5">
        <f>=HYPERLINK("https://luminus.nus.edu.sg/modules/7a9da0e9-a5dd-48d4-8252-4dd24c12b531","LumiNUS course site")</f>
      </c>
      <c r="F3364" s="0" t="s">
        <v>266</v>
      </c>
      <c r="G3364" s="0" t="s">
        <v>1616</v>
      </c>
      <c r="H3364" s="3">
        <v>152</v>
      </c>
    </row>
    <row r="3365">
      <c r="A3365" s="0" t="s">
        <v>6112</v>
      </c>
      <c r="B3365" s="0" t="s">
        <v>6113</v>
      </c>
      <c r="C3365" s="5">
        <f>=HYPERLINK("https://nusmods.com/modules/STR1000#timetable","Timetable")</f>
      </c>
      <c r="D3365" s="5">
        <f>=HYPERLINK("https://canvas.nus.edu.sg/courses/25755","Canvas course site")</f>
      </c>
      <c r="E3365" s="5"/>
      <c r="F3365" s="0" t="s">
        <v>28</v>
      </c>
      <c r="G3365" s="0" t="s">
        <v>233</v>
      </c>
      <c r="H3365" s="3">
        <v>538</v>
      </c>
    </row>
    <row r="3366">
      <c r="A3366" s="0" t="s">
        <v>6114</v>
      </c>
      <c r="B3366" s="0" t="s">
        <v>6115</v>
      </c>
      <c r="C3366" s="5">
        <f>=HYPERLINK("https://nusmods.com/modules/STR2000#timetable","Timetable")</f>
      </c>
      <c r="D3366" s="5"/>
      <c r="E3366" s="5"/>
      <c r="F3366" s="0" t="s">
        <v>28</v>
      </c>
      <c r="G3366" s="0" t="s">
        <v>233</v>
      </c>
      <c r="H3366" s="3">
        <v>542</v>
      </c>
    </row>
    <row r="3367">
      <c r="A3367" s="0" t="s">
        <v>6116</v>
      </c>
      <c r="B3367" s="0" t="s">
        <v>6117</v>
      </c>
      <c r="C3367" s="5">
        <f>=HYPERLINK("https://nusmods.com/modules/SW1101E#timetable","Timetable")</f>
      </c>
      <c r="D3367" s="5"/>
      <c r="E3367" s="5">
        <f>=HYPERLINK("https://luminus.nus.edu.sg/modules/e288d227-032e-4e2a-be57-c2253844dc4d","LumiNUS course site")</f>
      </c>
      <c r="F3367" s="0" t="s">
        <v>73</v>
      </c>
      <c r="G3367" s="0" t="s">
        <v>6118</v>
      </c>
      <c r="H3367" s="3">
        <v>132</v>
      </c>
    </row>
    <row r="3368">
      <c r="A3368" s="0" t="s">
        <v>6119</v>
      </c>
      <c r="B3368" s="0" t="s">
        <v>6120</v>
      </c>
      <c r="C3368" s="5">
        <f>=HYPERLINK("https://nusmods.com/modules/SW2101#timetable","Timetable")</f>
      </c>
      <c r="D3368" s="5"/>
      <c r="E3368" s="5">
        <f>=HYPERLINK("https://luminus.nus.edu.sg/modules/ceea3914-c90a-445d-9f9e-b6ce3899ef3a","LumiNUS course site")</f>
      </c>
      <c r="F3368" s="0" t="s">
        <v>73</v>
      </c>
      <c r="G3368" s="0" t="s">
        <v>6118</v>
      </c>
      <c r="H3368" s="3">
        <v>24</v>
      </c>
    </row>
    <row r="3369">
      <c r="A3369" s="0" t="s">
        <v>6121</v>
      </c>
      <c r="B3369" s="0" t="s">
        <v>6122</v>
      </c>
      <c r="C3369" s="5">
        <f>=HYPERLINK("https://nusmods.com/modules/SW2104#timetable","Timetable")</f>
      </c>
      <c r="D3369" s="5">
        <f>=HYPERLINK("https://canvas.nus.edu.sg/courses/25775","Canvas course site")</f>
      </c>
      <c r="E3369" s="5">
        <f>=HYPERLINK("https://luminus.nus.edu.sg/modules/e0950031-af77-491d-8b1b-7c50c5964a18","LumiNUS course site")</f>
      </c>
      <c r="F3369" s="0" t="s">
        <v>73</v>
      </c>
      <c r="G3369" s="0" t="s">
        <v>6118</v>
      </c>
      <c r="H3369" s="3">
        <v>40</v>
      </c>
    </row>
    <row r="3370">
      <c r="A3370" s="0" t="s">
        <v>6123</v>
      </c>
      <c r="B3370" s="0" t="s">
        <v>6124</v>
      </c>
      <c r="C3370" s="5">
        <f>=HYPERLINK("https://nusmods.com/modules/SW2105#timetable","Timetable")</f>
      </c>
      <c r="D3370" s="5"/>
      <c r="E3370" s="5">
        <f>=HYPERLINK("https://luminus.nus.edu.sg/modules/8bae20d3-f080-448c-ada5-e530965a5d47","LumiNUS course site")</f>
      </c>
      <c r="F3370" s="0" t="s">
        <v>73</v>
      </c>
      <c r="G3370" s="0" t="s">
        <v>6118</v>
      </c>
      <c r="H3370" s="3">
        <v>36</v>
      </c>
    </row>
    <row r="3371">
      <c r="A3371" s="0" t="s">
        <v>6125</v>
      </c>
      <c r="B3371" s="0" t="s">
        <v>6126</v>
      </c>
      <c r="C3371" s="5">
        <f>=HYPERLINK("https://nusmods.com/modules/SW2106#timetable","Timetable")</f>
      </c>
      <c r="D3371" s="5"/>
      <c r="E3371" s="5">
        <f>=HYPERLINK("https://luminus.nus.edu.sg/modules/0d750784-e145-45e9-a373-e879bc795fe6","LumiNUS course site")</f>
      </c>
      <c r="F3371" s="0" t="s">
        <v>73</v>
      </c>
      <c r="G3371" s="0" t="s">
        <v>6118</v>
      </c>
      <c r="H3371" s="3">
        <v>31</v>
      </c>
    </row>
    <row r="3372">
      <c r="A3372" s="0" t="s">
        <v>6127</v>
      </c>
      <c r="B3372" s="0" t="s">
        <v>6128</v>
      </c>
      <c r="C3372" s="5">
        <f>=HYPERLINK("https://nusmods.com/modules/SW3101#timetable","Timetable")</f>
      </c>
      <c r="D3372" s="5">
        <f>=HYPERLINK("https://canvas.nus.edu.sg/courses/25790","Canvas course site")</f>
      </c>
      <c r="E3372" s="5">
        <f>=HYPERLINK("https://luminus.nus.edu.sg/modules/999dd217-efe8-4973-bb23-8706e7f7b05f","LumiNUS course site")</f>
      </c>
      <c r="F3372" s="0" t="s">
        <v>73</v>
      </c>
      <c r="G3372" s="0" t="s">
        <v>6118</v>
      </c>
      <c r="H3372" s="3">
        <v>9</v>
      </c>
    </row>
    <row r="3373">
      <c r="A3373" s="0" t="s">
        <v>6129</v>
      </c>
      <c r="B3373" s="0" t="s">
        <v>6130</v>
      </c>
      <c r="C3373" s="5">
        <f>=HYPERLINK("https://nusmods.com/modules/SW3105#timetable","Timetable")</f>
      </c>
      <c r="D3373" s="5"/>
      <c r="E3373" s="5">
        <f>=HYPERLINK("https://luminus.nus.edu.sg/modules/b9e5f55d-79a6-4269-b37b-e599b9bb0c88","LumiNUS course site")</f>
      </c>
      <c r="F3373" s="0" t="s">
        <v>73</v>
      </c>
      <c r="G3373" s="0" t="s">
        <v>6118</v>
      </c>
      <c r="H3373" s="3">
        <v>27</v>
      </c>
    </row>
    <row r="3374">
      <c r="A3374" s="0" t="s">
        <v>6131</v>
      </c>
      <c r="B3374" s="0" t="s">
        <v>6132</v>
      </c>
      <c r="C3374" s="5">
        <f>=HYPERLINK("https://nusmods.com/modules/SW3221#timetable","Timetable")</f>
      </c>
      <c r="D3374" s="5"/>
      <c r="E3374" s="5">
        <f>=HYPERLINK("https://luminus.nus.edu.sg/modules/04a68d73-db61-442f-8702-633f33fcf22b","LumiNUS course site")</f>
      </c>
      <c r="F3374" s="0" t="s">
        <v>73</v>
      </c>
      <c r="G3374" s="0" t="s">
        <v>6118</v>
      </c>
      <c r="H3374" s="3">
        <v>56</v>
      </c>
    </row>
    <row r="3375">
      <c r="A3375" s="0" t="s">
        <v>6133</v>
      </c>
      <c r="B3375" s="0" t="s">
        <v>6134</v>
      </c>
      <c r="C3375" s="5">
        <f>=HYPERLINK("https://nusmods.com/modules/SW3224#timetable","Timetable")</f>
      </c>
      <c r="D3375" s="5"/>
      <c r="E3375" s="5">
        <f>=HYPERLINK("https://luminus.nus.edu.sg/modules/391a7395-c3a6-45a4-9d1e-c282f8d2baa4","LumiNUS course site")</f>
      </c>
      <c r="F3375" s="0" t="s">
        <v>73</v>
      </c>
      <c r="G3375" s="0" t="s">
        <v>6118</v>
      </c>
      <c r="H3375" s="3">
        <v>9</v>
      </c>
    </row>
    <row r="3376">
      <c r="A3376" s="0" t="s">
        <v>6135</v>
      </c>
      <c r="B3376" s="0" t="s">
        <v>1773</v>
      </c>
      <c r="C3376" s="5">
        <f>=HYPERLINK("https://nusmods.com/modules/SW3551#timetable","Timetable")</f>
      </c>
      <c r="D3376" s="5"/>
      <c r="E3376" s="5"/>
      <c r="F3376" s="0" t="s">
        <v>73</v>
      </c>
      <c r="G3376" s="0" t="s">
        <v>6118</v>
      </c>
      <c r="H3376" s="3">
        <v>1</v>
      </c>
    </row>
    <row r="3377">
      <c r="A3377" s="0" t="s">
        <v>6136</v>
      </c>
      <c r="B3377" s="0" t="s">
        <v>6137</v>
      </c>
      <c r="C3377" s="5">
        <f>=HYPERLINK("https://nusmods.com/modules/SW3880#timetable","Timetable")</f>
      </c>
      <c r="D3377" s="5"/>
      <c r="E3377" s="5">
        <f>=HYPERLINK("https://luminus.nus.edu.sg/modules/2481f02f-45cc-4ea5-b074-ffe34ac98773","LumiNUS course site")</f>
      </c>
      <c r="F3377" s="0" t="s">
        <v>73</v>
      </c>
      <c r="G3377" s="0" t="s">
        <v>6118</v>
      </c>
      <c r="H3377" s="3">
        <v>29</v>
      </c>
    </row>
    <row r="3378">
      <c r="A3378" s="0" t="s">
        <v>6138</v>
      </c>
      <c r="B3378" s="0" t="s">
        <v>6139</v>
      </c>
      <c r="C3378" s="5">
        <f>=HYPERLINK("https://nusmods.com/modules/SW4102#timetable","Timetable")</f>
      </c>
      <c r="D3378" s="5"/>
      <c r="E3378" s="5">
        <f>=HYPERLINK("https://luminus.nus.edu.sg/modules/fa76fed3-7fd0-4f29-877d-78e5b0f6ba58","LumiNUS course site")</f>
      </c>
      <c r="F3378" s="0" t="s">
        <v>73</v>
      </c>
      <c r="G3378" s="0" t="s">
        <v>6118</v>
      </c>
      <c r="H3378" s="3">
        <v>63</v>
      </c>
    </row>
    <row r="3379">
      <c r="A3379" s="0" t="s">
        <v>6140</v>
      </c>
      <c r="B3379" s="0" t="s">
        <v>6141</v>
      </c>
      <c r="C3379" s="5">
        <f>=HYPERLINK("https://nusmods.com/modules/SW4103#timetable","Timetable")</f>
      </c>
      <c r="D3379" s="5"/>
      <c r="E3379" s="5">
        <f>=HYPERLINK("https://luminus.nus.edu.sg/modules/bc0856b4-af54-4a0e-b09e-057f08ca40d6","LumiNUS course site")</f>
      </c>
      <c r="F3379" s="0" t="s">
        <v>73</v>
      </c>
      <c r="G3379" s="0" t="s">
        <v>6118</v>
      </c>
      <c r="H3379" s="3">
        <v>55</v>
      </c>
    </row>
    <row r="3380">
      <c r="A3380" s="0" t="s">
        <v>6142</v>
      </c>
      <c r="B3380" s="0" t="s">
        <v>6143</v>
      </c>
      <c r="C3380" s="5">
        <f>=HYPERLINK("https://nusmods.com/modules/SW4202#timetable","Timetable")</f>
      </c>
      <c r="D3380" s="5"/>
      <c r="E3380" s="5">
        <f>=HYPERLINK("https://luminus.nus.edu.sg/modules/8ea115f3-db3c-4246-bfca-b79cbeac5ed0","LumiNUS course site")</f>
      </c>
      <c r="F3380" s="0" t="s">
        <v>73</v>
      </c>
      <c r="G3380" s="0" t="s">
        <v>6118</v>
      </c>
      <c r="H3380" s="3">
        <v>50</v>
      </c>
    </row>
    <row r="3381">
      <c r="A3381" s="0" t="s">
        <v>6144</v>
      </c>
      <c r="B3381" s="0" t="s">
        <v>6145</v>
      </c>
      <c r="C3381" s="5">
        <f>=HYPERLINK("https://nusmods.com/modules/SW4223#timetable","Timetable")</f>
      </c>
      <c r="D3381" s="5"/>
      <c r="E3381" s="5">
        <f>=HYPERLINK("https://luminus.nus.edu.sg/modules/1286c96d-b44c-4321-bfe0-56fe8a2b110f","LumiNUS course site")</f>
      </c>
      <c r="F3381" s="0" t="s">
        <v>73</v>
      </c>
      <c r="G3381" s="0" t="s">
        <v>6118</v>
      </c>
      <c r="H3381" s="3">
        <v>52</v>
      </c>
    </row>
    <row r="3382">
      <c r="A3382" s="0" t="s">
        <v>6146</v>
      </c>
      <c r="B3382" s="0" t="s">
        <v>6147</v>
      </c>
      <c r="C3382" s="5">
        <f>=HYPERLINK("https://nusmods.com/modules/SW4225#timetable","Timetable")</f>
      </c>
      <c r="D3382" s="5"/>
      <c r="E3382" s="5">
        <f>=HYPERLINK("https://luminus.nus.edu.sg/modules/6137da67-2cda-4673-8e70-f2192624ceea","LumiNUS course site")</f>
      </c>
      <c r="F3382" s="0" t="s">
        <v>73</v>
      </c>
      <c r="G3382" s="0" t="s">
        <v>6118</v>
      </c>
      <c r="H3382" s="3">
        <v>37</v>
      </c>
    </row>
    <row r="3383">
      <c r="A3383" s="0" t="s">
        <v>6148</v>
      </c>
      <c r="B3383" s="0" t="s">
        <v>6149</v>
      </c>
      <c r="C3383" s="5">
        <f>=HYPERLINK("https://nusmods.com/modules/SW4227#timetable","Timetable")</f>
      </c>
      <c r="D3383" s="5"/>
      <c r="E3383" s="5">
        <f>=HYPERLINK("https://luminus.nus.edu.sg/modules/9f67c880-f169-4218-9135-75740663950e","LumiNUS course site")</f>
      </c>
      <c r="F3383" s="0" t="s">
        <v>73</v>
      </c>
      <c r="G3383" s="0" t="s">
        <v>6118</v>
      </c>
      <c r="H3383" s="3">
        <v>72</v>
      </c>
    </row>
    <row r="3384">
      <c r="A3384" s="0" t="s">
        <v>6150</v>
      </c>
      <c r="B3384" s="0" t="s">
        <v>6151</v>
      </c>
      <c r="C3384" s="5">
        <f>=HYPERLINK("https://nusmods.com/modules/SW4229#timetable","Timetable")</f>
      </c>
      <c r="D3384" s="5"/>
      <c r="E3384" s="5">
        <f>=HYPERLINK("https://luminus.nus.edu.sg/modules/8e6e409c-681e-40ba-97eb-db28fc1459af","LumiNUS course site")</f>
      </c>
      <c r="F3384" s="0" t="s">
        <v>73</v>
      </c>
      <c r="G3384" s="0" t="s">
        <v>6118</v>
      </c>
      <c r="H3384" s="3">
        <v>35</v>
      </c>
    </row>
    <row r="3385">
      <c r="A3385" s="0" t="s">
        <v>6152</v>
      </c>
      <c r="B3385" s="0" t="s">
        <v>980</v>
      </c>
      <c r="C3385" s="5">
        <f>=HYPERLINK("https://nusmods.com/modules/SW4401#timetable","Timetable")</f>
      </c>
      <c r="D3385" s="5"/>
      <c r="E3385" s="5">
        <f>=HYPERLINK("https://luminus.nus.edu.sg/modules/57b9a493-8ea7-4835-8392-e8a27e2ed0b9","LumiNUS course site")</f>
      </c>
      <c r="F3385" s="0" t="s">
        <v>73</v>
      </c>
      <c r="G3385" s="0" t="s">
        <v>6118</v>
      </c>
      <c r="H3385" s="3">
        <v>1</v>
      </c>
    </row>
    <row r="3386">
      <c r="A3386" s="0" t="s">
        <v>6153</v>
      </c>
      <c r="B3386" s="0" t="s">
        <v>602</v>
      </c>
      <c r="C3386" s="5">
        <f>=HYPERLINK("https://nusmods.com/modules/SW4660#timetable","Timetable")</f>
      </c>
      <c r="D3386" s="5"/>
      <c r="E3386" s="5">
        <f>=HYPERLINK("https://luminus.nus.edu.sg/modules/f8cea7ba-9ece-4681-b8ad-9528d810235e","LumiNUS course site")</f>
      </c>
      <c r="F3386" s="0" t="s">
        <v>73</v>
      </c>
      <c r="G3386" s="0" t="s">
        <v>6118</v>
      </c>
      <c r="H3386" s="3">
        <v>0</v>
      </c>
    </row>
    <row r="3387">
      <c r="A3387" s="0" t="s">
        <v>6154</v>
      </c>
      <c r="B3387" s="0" t="s">
        <v>6137</v>
      </c>
      <c r="C3387" s="5">
        <f>=HYPERLINK("https://nusmods.com/modules/SW4880#timetable","Timetable")</f>
      </c>
      <c r="D3387" s="5"/>
      <c r="E3387" s="5">
        <f>=HYPERLINK("https://luminus.nus.edu.sg/modules/2f5a088b-4adb-4819-bd66-8eb2d016aa68","LumiNUS course site")</f>
      </c>
      <c r="F3387" s="0" t="s">
        <v>73</v>
      </c>
      <c r="G3387" s="0" t="s">
        <v>6118</v>
      </c>
      <c r="H3387" s="3">
        <v>45</v>
      </c>
    </row>
    <row r="3388">
      <c r="A3388" s="0" t="s">
        <v>6155</v>
      </c>
      <c r="B3388" s="0" t="s">
        <v>6156</v>
      </c>
      <c r="C3388" s="5">
        <f>=HYPERLINK("https://nusmods.com/modules/SW5106#timetable","Timetable")</f>
      </c>
      <c r="D3388" s="5"/>
      <c r="E3388" s="5">
        <f>=HYPERLINK("https://luminus.nus.edu.sg/modules/b0e9213c-48f2-43f3-b99a-d9b6cb1deebc","LumiNUS course site")</f>
      </c>
      <c r="F3388" s="0" t="s">
        <v>73</v>
      </c>
      <c r="G3388" s="0" t="s">
        <v>6118</v>
      </c>
      <c r="H3388" s="3">
        <v>0</v>
      </c>
    </row>
    <row r="3389">
      <c r="A3389" s="0" t="s">
        <v>6157</v>
      </c>
      <c r="B3389" s="0" t="s">
        <v>6158</v>
      </c>
      <c r="C3389" s="5">
        <f>=HYPERLINK("https://nusmods.com/modules/SW5107#timetable","Timetable")</f>
      </c>
      <c r="D3389" s="5"/>
      <c r="E3389" s="5">
        <f>=HYPERLINK("https://luminus.nus.edu.sg/modules/90860e2e-6a10-43dd-bd99-9330570bcc7a","LumiNUS course site")</f>
      </c>
      <c r="F3389" s="0" t="s">
        <v>73</v>
      </c>
      <c r="G3389" s="0" t="s">
        <v>6118</v>
      </c>
      <c r="H3389" s="3">
        <v>0</v>
      </c>
    </row>
    <row r="3390">
      <c r="A3390" s="0" t="s">
        <v>6159</v>
      </c>
      <c r="B3390" s="0" t="s">
        <v>6160</v>
      </c>
      <c r="C3390" s="5">
        <f>=HYPERLINK("https://nusmods.com/modules/SW5111#timetable","Timetable")</f>
      </c>
      <c r="D3390" s="5"/>
      <c r="E3390" s="5">
        <f>=HYPERLINK("https://luminus.nus.edu.sg/modules/d12385a0-6adb-4619-af96-0c6981b70e2b","LumiNUS course site")</f>
      </c>
      <c r="F3390" s="0" t="s">
        <v>73</v>
      </c>
      <c r="G3390" s="0" t="s">
        <v>6118</v>
      </c>
      <c r="H3390" s="3">
        <v>0</v>
      </c>
    </row>
    <row r="3391">
      <c r="A3391" s="0" t="s">
        <v>6161</v>
      </c>
      <c r="B3391" s="0" t="s">
        <v>6001</v>
      </c>
      <c r="C3391" s="5">
        <f>=HYPERLINK("https://nusmods.com/modules/SW5111A#timetable","Timetable")</f>
      </c>
      <c r="D3391" s="5"/>
      <c r="E3391" s="5">
        <f>=HYPERLINK("https://luminus.nus.edu.sg/modules/d12385a0-6adb-4619-af96-0c6981b70e2b","LumiNUS course site")</f>
      </c>
      <c r="F3391" s="0" t="s">
        <v>73</v>
      </c>
      <c r="G3391" s="0" t="s">
        <v>6118</v>
      </c>
      <c r="H3391" s="3">
        <v>0</v>
      </c>
    </row>
    <row r="3392">
      <c r="A3392" s="0" t="s">
        <v>6162</v>
      </c>
      <c r="B3392" s="0" t="s">
        <v>6001</v>
      </c>
      <c r="C3392" s="5">
        <f>=HYPERLINK("https://nusmods.com/modules/SW5111B#timetable","Timetable")</f>
      </c>
      <c r="D3392" s="5"/>
      <c r="E3392" s="5">
        <f>=HYPERLINK("https://luminus.nus.edu.sg/modules/d12385a0-6adb-4619-af96-0c6981b70e2b","LumiNUS course site")</f>
      </c>
      <c r="F3392" s="0" t="s">
        <v>73</v>
      </c>
      <c r="G3392" s="0" t="s">
        <v>6118</v>
      </c>
      <c r="H3392" s="3">
        <v>1</v>
      </c>
    </row>
    <row r="3393">
      <c r="A3393" s="0" t="s">
        <v>6163</v>
      </c>
      <c r="B3393" s="0" t="s">
        <v>6164</v>
      </c>
      <c r="C3393" s="5">
        <f>=HYPERLINK("https://nusmods.com/modules/SW5112#timetable","Timetable")</f>
      </c>
      <c r="D3393" s="5"/>
      <c r="E3393" s="5"/>
      <c r="F3393" s="0" t="s">
        <v>73</v>
      </c>
      <c r="G3393" s="0" t="s">
        <v>6118</v>
      </c>
      <c r="H3393" s="3">
        <v>0</v>
      </c>
    </row>
    <row r="3394">
      <c r="A3394" s="0" t="s">
        <v>6165</v>
      </c>
      <c r="B3394" s="0" t="s">
        <v>6166</v>
      </c>
      <c r="C3394" s="5">
        <f>=HYPERLINK("https://nusmods.com/modules/SW5117B#timetable","Timetable")</f>
      </c>
      <c r="D3394" s="5"/>
      <c r="E3394" s="5">
        <f>=HYPERLINK("https://luminus.nus.edu.sg/modules/fc18bed5-c483-4aaa-82f1-7fb4b4e96b04","LumiNUS course site")</f>
      </c>
      <c r="F3394" s="0" t="s">
        <v>73</v>
      </c>
      <c r="G3394" s="0" t="s">
        <v>6118</v>
      </c>
      <c r="H3394" s="3">
        <v>6</v>
      </c>
    </row>
    <row r="3395">
      <c r="A3395" s="0" t="s">
        <v>6167</v>
      </c>
      <c r="B3395" s="0" t="s">
        <v>6168</v>
      </c>
      <c r="C3395" s="5">
        <f>=HYPERLINK("https://nusmods.com/modules/SW5208#timetable","Timetable")</f>
      </c>
      <c r="D3395" s="5"/>
      <c r="E3395" s="5"/>
      <c r="F3395" s="0" t="s">
        <v>73</v>
      </c>
      <c r="G3395" s="0" t="s">
        <v>6118</v>
      </c>
      <c r="H3395" s="3">
        <v>0</v>
      </c>
    </row>
    <row r="3396">
      <c r="A3396" s="0" t="s">
        <v>6169</v>
      </c>
      <c r="B3396" s="0" t="s">
        <v>989</v>
      </c>
      <c r="C3396" s="5">
        <f>=HYPERLINK("https://nusmods.com/modules/SW5660#timetable","Timetable")</f>
      </c>
      <c r="D3396" s="5"/>
      <c r="E3396" s="5"/>
      <c r="F3396" s="0" t="s">
        <v>73</v>
      </c>
      <c r="G3396" s="0" t="s">
        <v>6118</v>
      </c>
      <c r="H3396" s="3">
        <v>0</v>
      </c>
    </row>
    <row r="3397">
      <c r="A3397" s="0" t="s">
        <v>6170</v>
      </c>
      <c r="B3397" s="0" t="s">
        <v>989</v>
      </c>
      <c r="C3397" s="5">
        <f>=HYPERLINK("https://nusmods.com/modules/SW6660#timetable","Timetable")</f>
      </c>
      <c r="D3397" s="5"/>
      <c r="E3397" s="5"/>
      <c r="F3397" s="0" t="s">
        <v>73</v>
      </c>
      <c r="G3397" s="0" t="s">
        <v>6118</v>
      </c>
      <c r="H3397" s="3">
        <v>0</v>
      </c>
    </row>
    <row r="3398">
      <c r="A3398" s="0" t="s">
        <v>6171</v>
      </c>
      <c r="B3398" s="0" t="s">
        <v>6172</v>
      </c>
      <c r="C3398" s="5">
        <f>=HYPERLINK("https://nusmods.com/modules/SWD5103#timetable","Timetable")</f>
      </c>
      <c r="D3398" s="5"/>
      <c r="E3398" s="5">
        <f>=HYPERLINK("https://luminus.nus.edu.sg/modules/75717813-50c7-4712-91e4-8becdb9e30c3","LumiNUS course site")</f>
      </c>
      <c r="F3398" s="0" t="s">
        <v>73</v>
      </c>
      <c r="G3398" s="0" t="s">
        <v>6118</v>
      </c>
      <c r="H3398" s="3">
        <v>37</v>
      </c>
    </row>
    <row r="3399">
      <c r="A3399" s="0" t="s">
        <v>6173</v>
      </c>
      <c r="B3399" s="0" t="s">
        <v>6174</v>
      </c>
      <c r="C3399" s="5">
        <f>=HYPERLINK("https://nusmods.com/modules/SWD5105#timetable","Timetable")</f>
      </c>
      <c r="D3399" s="5"/>
      <c r="E3399" s="5">
        <f>=HYPERLINK("https://luminus.nus.edu.sg/modules/47548925-e63e-45ec-b307-f55c4eca9fd6","LumiNUS course site")</f>
      </c>
      <c r="F3399" s="0" t="s">
        <v>73</v>
      </c>
      <c r="G3399" s="0" t="s">
        <v>6118</v>
      </c>
      <c r="H3399" s="3">
        <v>33</v>
      </c>
    </row>
    <row r="3400">
      <c r="A3400" s="0" t="s">
        <v>6175</v>
      </c>
      <c r="B3400" s="0" t="s">
        <v>6176</v>
      </c>
      <c r="C3400" s="5">
        <f>=HYPERLINK("https://nusmods.com/modules/SWD5120#timetable","Timetable")</f>
      </c>
      <c r="D3400" s="5"/>
      <c r="E3400" s="5">
        <f>=HYPERLINK("https://luminus.nus.edu.sg/modules/3c293514-0d67-4957-80d3-500c06fc4fb5","LumiNUS course site")</f>
      </c>
      <c r="F3400" s="0" t="s">
        <v>73</v>
      </c>
      <c r="G3400" s="0" t="s">
        <v>6118</v>
      </c>
      <c r="H3400" s="3">
        <v>26</v>
      </c>
    </row>
    <row r="3401">
      <c r="A3401" s="0" t="s">
        <v>6177</v>
      </c>
      <c r="B3401" s="0" t="s">
        <v>6178</v>
      </c>
      <c r="C3401" s="5">
        <f>=HYPERLINK("https://nusmods.com/modules/SWD5880E#timetable","Timetable")</f>
      </c>
      <c r="D3401" s="5"/>
      <c r="E3401" s="5">
        <f>=HYPERLINK("https://luminus.nus.edu.sg/modules/f6685762-c800-4886-a606-04438325cc05","LumiNUS course site")</f>
      </c>
      <c r="F3401" s="0" t="s">
        <v>73</v>
      </c>
      <c r="G3401" s="0" t="s">
        <v>6118</v>
      </c>
      <c r="H3401" s="3">
        <v>31</v>
      </c>
    </row>
    <row r="3402">
      <c r="A3402" s="0" t="s">
        <v>6179</v>
      </c>
      <c r="B3402" s="0" t="s">
        <v>6180</v>
      </c>
      <c r="C3402" s="5">
        <f>=HYPERLINK("https://nusmods.com/modules/SWE5001#timetable","Timetable")</f>
      </c>
      <c r="D3402" s="5">
        <f>=HYPERLINK("https://canvas.nus.edu.sg/courses/26766","Canvas course site")</f>
      </c>
      <c r="E3402" s="5">
        <f>=HYPERLINK("https://luminus.nus.edu.sg/modules/5616f99b-7b16-42e3-a2bf-36d6e5af13ba","LumiNUS course site")</f>
      </c>
      <c r="F3402" s="0" t="s">
        <v>1501</v>
      </c>
      <c r="G3402" s="0" t="s">
        <v>1501</v>
      </c>
      <c r="H3402" s="3">
        <v>28</v>
      </c>
    </row>
    <row r="3403">
      <c r="A3403" s="0" t="s">
        <v>6181</v>
      </c>
      <c r="B3403" s="0" t="s">
        <v>6180</v>
      </c>
      <c r="C3403" s="5">
        <f>=HYPERLINK("https://nusmods.com/modules/SWE5001G#timetable","Timetable")</f>
      </c>
      <c r="D3403" s="5"/>
      <c r="E3403" s="5"/>
      <c r="F3403" s="0" t="s">
        <v>1501</v>
      </c>
      <c r="G3403" s="0" t="s">
        <v>1501</v>
      </c>
      <c r="H3403" s="3">
        <v>47</v>
      </c>
    </row>
    <row r="3404">
      <c r="A3404" s="0" t="s">
        <v>6182</v>
      </c>
      <c r="B3404" s="0" t="s">
        <v>6183</v>
      </c>
      <c r="C3404" s="5">
        <f>=HYPERLINK("https://nusmods.com/modules/SWE5002#timetable","Timetable")</f>
      </c>
      <c r="D3404" s="5"/>
      <c r="E3404" s="5">
        <f>=HYPERLINK("https://luminus.nus.edu.sg/modules/091d5266-d41d-44e1-88da-f8389abb2d8a","LumiNUS course site")</f>
      </c>
      <c r="F3404" s="0" t="s">
        <v>1501</v>
      </c>
      <c r="G3404" s="0" t="s">
        <v>1501</v>
      </c>
      <c r="H3404" s="3">
        <v>32</v>
      </c>
    </row>
    <row r="3405">
      <c r="A3405" s="0" t="s">
        <v>6184</v>
      </c>
      <c r="B3405" s="0" t="s">
        <v>6183</v>
      </c>
      <c r="C3405" s="5">
        <f>=HYPERLINK("https://nusmods.com/modules/SWE5002G#timetable","Timetable")</f>
      </c>
      <c r="D3405" s="5"/>
      <c r="E3405" s="5"/>
      <c r="F3405" s="0" t="s">
        <v>1501</v>
      </c>
      <c r="G3405" s="0" t="s">
        <v>1501</v>
      </c>
      <c r="H3405" s="3">
        <v>48</v>
      </c>
    </row>
    <row r="3406">
      <c r="A3406" s="0" t="s">
        <v>6185</v>
      </c>
      <c r="B3406" s="0" t="s">
        <v>6186</v>
      </c>
      <c r="C3406" s="5">
        <f>=HYPERLINK("https://nusmods.com/modules/SWE5005#timetable","Timetable")</f>
      </c>
      <c r="D3406" s="5"/>
      <c r="E3406" s="5">
        <f>=HYPERLINK("https://luminus.nus.edu.sg/modules/be612274-dd15-496f-be0a-fca965e51f87","LumiNUS course site")</f>
      </c>
      <c r="F3406" s="0" t="s">
        <v>1501</v>
      </c>
      <c r="G3406" s="0" t="s">
        <v>1501</v>
      </c>
      <c r="H3406" s="3">
        <v>14</v>
      </c>
    </row>
    <row r="3407">
      <c r="A3407" s="0" t="s">
        <v>6187</v>
      </c>
      <c r="B3407" s="0" t="s">
        <v>6186</v>
      </c>
      <c r="C3407" s="5">
        <f>=HYPERLINK("https://nusmods.com/modules/SWE5005G#timetable","Timetable")</f>
      </c>
      <c r="D3407" s="5"/>
      <c r="E3407" s="5"/>
      <c r="F3407" s="0" t="s">
        <v>1501</v>
      </c>
      <c r="G3407" s="0" t="s">
        <v>1501</v>
      </c>
      <c r="H3407" s="3">
        <v>32</v>
      </c>
    </row>
    <row r="3408">
      <c r="A3408" s="0" t="s">
        <v>6188</v>
      </c>
      <c r="B3408" s="0" t="s">
        <v>6189</v>
      </c>
      <c r="C3408" s="5">
        <f>=HYPERLINK("https://nusmods.com/modules/SWE5007#timetable","Timetable")</f>
      </c>
      <c r="D3408" s="5"/>
      <c r="E3408" s="5"/>
      <c r="F3408" s="0" t="s">
        <v>1501</v>
      </c>
      <c r="G3408" s="0" t="s">
        <v>1501</v>
      </c>
      <c r="H3408" s="3">
        <v>32</v>
      </c>
    </row>
    <row r="3409">
      <c r="A3409" s="0" t="s">
        <v>6190</v>
      </c>
      <c r="B3409" s="0" t="s">
        <v>6191</v>
      </c>
      <c r="C3409" s="5">
        <f>=HYPERLINK("https://nusmods.com/modules/SWM5104#timetable","Timetable")</f>
      </c>
      <c r="D3409" s="5"/>
      <c r="E3409" s="5">
        <f>=HYPERLINK("https://luminus.nus.edu.sg/modules/5374da91-4ae3-4ff8-9e16-2a139eab6158","LumiNUS course site")</f>
      </c>
      <c r="F3409" s="0" t="s">
        <v>73</v>
      </c>
      <c r="G3409" s="0" t="s">
        <v>6118</v>
      </c>
      <c r="H3409" s="3">
        <v>13</v>
      </c>
    </row>
    <row r="3410">
      <c r="A3410" s="0" t="s">
        <v>6192</v>
      </c>
      <c r="B3410" s="0" t="s">
        <v>6156</v>
      </c>
      <c r="C3410" s="5">
        <f>=HYPERLINK("https://nusmods.com/modules/SWM5106#timetable","Timetable")</f>
      </c>
      <c r="D3410" s="5"/>
      <c r="E3410" s="5">
        <f>=HYPERLINK("https://luminus.nus.edu.sg/modules/b0e9213c-48f2-43f3-b99a-d9b6cb1deebc","LumiNUS course site")</f>
      </c>
      <c r="F3410" s="0" t="s">
        <v>73</v>
      </c>
      <c r="G3410" s="0" t="s">
        <v>6118</v>
      </c>
      <c r="H3410" s="3">
        <v>5</v>
      </c>
    </row>
    <row r="3411">
      <c r="A3411" s="0" t="s">
        <v>6193</v>
      </c>
      <c r="B3411" s="0" t="s">
        <v>6158</v>
      </c>
      <c r="C3411" s="5">
        <f>=HYPERLINK("https://nusmods.com/modules/SWM5107#timetable","Timetable")</f>
      </c>
      <c r="D3411" s="5"/>
      <c r="E3411" s="5">
        <f>=HYPERLINK("https://luminus.nus.edu.sg/modules/90860e2e-6a10-43dd-bd99-9330570bcc7a","LumiNUS course site")</f>
      </c>
      <c r="F3411" s="0" t="s">
        <v>73</v>
      </c>
      <c r="G3411" s="0" t="s">
        <v>6118</v>
      </c>
      <c r="H3411" s="3">
        <v>11</v>
      </c>
    </row>
    <row r="3412">
      <c r="A3412" s="0" t="s">
        <v>6194</v>
      </c>
      <c r="B3412" s="0" t="s">
        <v>6166</v>
      </c>
      <c r="C3412" s="5">
        <f>=HYPERLINK("https://nusmods.com/modules/SWM5117B#timetable","Timetable")</f>
      </c>
      <c r="D3412" s="5"/>
      <c r="E3412" s="5"/>
      <c r="F3412" s="0" t="s">
        <v>73</v>
      </c>
      <c r="G3412" s="0" t="s">
        <v>6118</v>
      </c>
      <c r="H3412" s="3">
        <v>0</v>
      </c>
    </row>
    <row r="3413">
      <c r="A3413" s="0" t="s">
        <v>6195</v>
      </c>
      <c r="B3413" s="0" t="s">
        <v>6168</v>
      </c>
      <c r="C3413" s="5">
        <f>=HYPERLINK("https://nusmods.com/modules/SWM5208#timetable","Timetable")</f>
      </c>
      <c r="D3413" s="5"/>
      <c r="E3413" s="5">
        <f>=HYPERLINK("https://luminus.nus.edu.sg/modules/2d200893-5173-4c44-aacf-e083911f3ae4","LumiNUS course site")</f>
      </c>
      <c r="F3413" s="0" t="s">
        <v>73</v>
      </c>
      <c r="G3413" s="0" t="s">
        <v>6118</v>
      </c>
      <c r="H3413" s="3">
        <v>10</v>
      </c>
    </row>
    <row r="3414">
      <c r="A3414" s="0" t="s">
        <v>6196</v>
      </c>
      <c r="B3414" s="0" t="s">
        <v>6197</v>
      </c>
      <c r="C3414" s="5">
        <f>=HYPERLINK("https://nusmods.com/modules/SWM5209#timetable","Timetable")</f>
      </c>
      <c r="D3414" s="5"/>
      <c r="E3414" s="5">
        <f>=HYPERLINK("https://luminus.nus.edu.sg/modules/732f8c4f-bd07-47fe-b350-c6c877f0160e","LumiNUS course site")</f>
      </c>
      <c r="F3414" s="0" t="s">
        <v>73</v>
      </c>
      <c r="G3414" s="0" t="s">
        <v>6118</v>
      </c>
      <c r="H3414" s="3">
        <v>12</v>
      </c>
    </row>
    <row r="3415">
      <c r="A3415" s="0" t="s">
        <v>6198</v>
      </c>
      <c r="B3415" s="0" t="s">
        <v>6199</v>
      </c>
      <c r="C3415" s="5">
        <f>=HYPERLINK("https://nusmods.com/modules/TBA2105#timetable","Timetable")</f>
      </c>
      <c r="D3415" s="5"/>
      <c r="E3415" s="5">
        <f>=HYPERLINK("https://luminus.nus.edu.sg/modules/39b4d439-a5bb-4f85-a454-b361ec038acf","LumiNUS course site")</f>
      </c>
      <c r="F3415" s="0" t="s">
        <v>1173</v>
      </c>
      <c r="G3415" s="0" t="s">
        <v>1174</v>
      </c>
      <c r="H3415" s="3">
        <v>36</v>
      </c>
    </row>
    <row r="3416">
      <c r="A3416" s="0" t="s">
        <v>6200</v>
      </c>
      <c r="B3416" s="0" t="s">
        <v>737</v>
      </c>
      <c r="C3416" s="5">
        <f>=HYPERLINK("https://nusmods.com/modules/TBA3103#timetable","Timetable")</f>
      </c>
      <c r="D3416" s="5"/>
      <c r="E3416" s="5">
        <f>=HYPERLINK("https://luminus.nus.edu.sg/modules/1e0f6ead-a177-4e04-8363-0f03e7dd4ded","LumiNUS course site")</f>
      </c>
      <c r="F3416" s="0" t="s">
        <v>1173</v>
      </c>
      <c r="G3416" s="0" t="s">
        <v>1174</v>
      </c>
      <c r="H3416" s="3">
        <v>3</v>
      </c>
    </row>
    <row r="3417">
      <c r="A3417" s="0" t="s">
        <v>6201</v>
      </c>
      <c r="B3417" s="0" t="s">
        <v>513</v>
      </c>
      <c r="C3417" s="5">
        <f>=HYPERLINK("https://nusmods.com/modules/TBA3222#timetable","Timetable")</f>
      </c>
      <c r="D3417" s="5"/>
      <c r="E3417" s="5">
        <f>=HYPERLINK("https://luminus.nus.edu.sg/modules/b2dee50f-2800-46e6-9355-1158b497e8ca","LumiNUS course site")</f>
      </c>
      <c r="F3417" s="0" t="s">
        <v>1173</v>
      </c>
      <c r="G3417" s="0" t="s">
        <v>1174</v>
      </c>
      <c r="H3417" s="3">
        <v>10</v>
      </c>
    </row>
    <row r="3418">
      <c r="A3418" s="0" t="s">
        <v>6202</v>
      </c>
      <c r="B3418" s="0" t="s">
        <v>6203</v>
      </c>
      <c r="C3418" s="5">
        <f>=HYPERLINK("https://nusmods.com/modules/TBA4212#timetable","Timetable")</f>
      </c>
      <c r="D3418" s="5">
        <f>=HYPERLINK("https://canvas.nus.edu.sg/courses/25974","Canvas course site")</f>
      </c>
      <c r="E3418" s="5"/>
      <c r="F3418" s="0" t="s">
        <v>1173</v>
      </c>
      <c r="G3418" s="0" t="s">
        <v>1174</v>
      </c>
      <c r="H3418" s="3">
        <v>3</v>
      </c>
    </row>
    <row r="3419">
      <c r="A3419" s="0" t="s">
        <v>6204</v>
      </c>
      <c r="B3419" s="0" t="s">
        <v>747</v>
      </c>
      <c r="C3419" s="5">
        <f>=HYPERLINK("https://nusmods.com/modules/TBA4220#timetable","Timetable")</f>
      </c>
      <c r="D3419" s="5"/>
      <c r="E3419" s="5">
        <f>=HYPERLINK("https://luminus.nus.edu.sg/modules/6c68ae03-cbfc-4467-b0d9-eaac642740f4","LumiNUS course site")</f>
      </c>
      <c r="F3419" s="0" t="s">
        <v>1173</v>
      </c>
      <c r="G3419" s="0" t="s">
        <v>1174</v>
      </c>
      <c r="H3419" s="3">
        <v>27</v>
      </c>
    </row>
    <row r="3420">
      <c r="A3420" s="0" t="s">
        <v>6205</v>
      </c>
      <c r="B3420" s="0" t="s">
        <v>6206</v>
      </c>
      <c r="C3420" s="5">
        <f>=HYPERLINK("https://nusmods.com/modules/TBA4230#timetable","Timetable")</f>
      </c>
      <c r="D3420" s="5"/>
      <c r="E3420" s="5">
        <f>=HYPERLINK("https://luminus.nus.edu.sg/modules/01a81028-7979-48d0-9da4-ff21d5be1df2","LumiNUS course site")</f>
      </c>
      <c r="F3420" s="0" t="s">
        <v>1173</v>
      </c>
      <c r="G3420" s="0" t="s">
        <v>1174</v>
      </c>
      <c r="H3420" s="3">
        <v>27</v>
      </c>
    </row>
    <row r="3421">
      <c r="A3421" s="0" t="s">
        <v>6207</v>
      </c>
      <c r="B3421" s="0" t="s">
        <v>6208</v>
      </c>
      <c r="C3421" s="5">
        <f>=HYPERLINK("https://nusmods.com/modules/TCE1109#timetable","Timetable")</f>
      </c>
      <c r="D3421" s="5"/>
      <c r="E3421" s="5">
        <f>=HYPERLINK("https://luminus.nus.edu.sg/modules/99f35d85-4724-482c-a95a-062aa97a88ce","LumiNUS course site")</f>
      </c>
      <c r="F3421" s="0" t="s">
        <v>1173</v>
      </c>
      <c r="G3421" s="0" t="s">
        <v>1174</v>
      </c>
      <c r="H3421" s="3">
        <v>45</v>
      </c>
    </row>
    <row r="3422">
      <c r="A3422" s="0" t="s">
        <v>6209</v>
      </c>
      <c r="B3422" s="0" t="s">
        <v>6210</v>
      </c>
      <c r="C3422" s="5">
        <f>=HYPERLINK("https://nusmods.com/modules/TCE2112#timetable","Timetable")</f>
      </c>
      <c r="D3422" s="5">
        <f>=HYPERLINK("https://canvas.nus.edu.sg/courses/25993","Canvas course site")</f>
      </c>
      <c r="E3422" s="5"/>
      <c r="F3422" s="0" t="s">
        <v>1173</v>
      </c>
      <c r="G3422" s="0" t="s">
        <v>1174</v>
      </c>
      <c r="H3422" s="3">
        <v>39</v>
      </c>
    </row>
    <row r="3423">
      <c r="A3423" s="0" t="s">
        <v>6211</v>
      </c>
      <c r="B3423" s="0" t="s">
        <v>6212</v>
      </c>
      <c r="C3423" s="5">
        <f>=HYPERLINK("https://nusmods.com/modules/TCE2155#timetable","Timetable")</f>
      </c>
      <c r="D3423" s="5"/>
      <c r="E3423" s="5">
        <f>=HYPERLINK("https://luminus.nus.edu.sg/modules/d3e2621b-a034-4929-a096-ea6771d4ecdf","LumiNUS course site")</f>
      </c>
      <c r="F3423" s="0" t="s">
        <v>1173</v>
      </c>
      <c r="G3423" s="0" t="s">
        <v>1174</v>
      </c>
      <c r="H3423" s="3">
        <v>28</v>
      </c>
    </row>
    <row r="3424">
      <c r="A3424" s="0" t="s">
        <v>6213</v>
      </c>
      <c r="B3424" s="0" t="s">
        <v>6214</v>
      </c>
      <c r="C3424" s="5">
        <f>=HYPERLINK("https://nusmods.com/modules/TCE2184#timetable","Timetable")</f>
      </c>
      <c r="D3424" s="5">
        <f>=HYPERLINK("https://canvas.nus.edu.sg/courses/26002","Canvas course site")</f>
      </c>
      <c r="E3424" s="5"/>
      <c r="F3424" s="0" t="s">
        <v>1173</v>
      </c>
      <c r="G3424" s="0" t="s">
        <v>1174</v>
      </c>
      <c r="H3424" s="3">
        <v>22</v>
      </c>
    </row>
    <row r="3425">
      <c r="A3425" s="0" t="s">
        <v>6215</v>
      </c>
      <c r="B3425" s="0" t="s">
        <v>6216</v>
      </c>
      <c r="C3425" s="5">
        <f>=HYPERLINK("https://nusmods.com/modules/TCE3001#timetable","Timetable")</f>
      </c>
      <c r="D3425" s="5"/>
      <c r="E3425" s="5">
        <f>=HYPERLINK("https://luminus.nus.edu.sg/modules/f1d63058-b861-480a-a2c1-f65c76d3cd34","LumiNUS course site")</f>
      </c>
      <c r="F3425" s="0" t="s">
        <v>1173</v>
      </c>
      <c r="G3425" s="0" t="s">
        <v>1174</v>
      </c>
      <c r="H3425" s="3">
        <v>33</v>
      </c>
    </row>
    <row r="3426">
      <c r="A3426" s="0" t="s">
        <v>6217</v>
      </c>
      <c r="B3426" s="0" t="s">
        <v>6218</v>
      </c>
      <c r="C3426" s="5">
        <f>=HYPERLINK("https://nusmods.com/modules/TCE3100#timetable","Timetable")</f>
      </c>
      <c r="D3426" s="5"/>
      <c r="E3426" s="5"/>
      <c r="F3426" s="0" t="s">
        <v>1173</v>
      </c>
      <c r="G3426" s="0" t="s">
        <v>1174</v>
      </c>
      <c r="H3426" s="3">
        <v>0</v>
      </c>
    </row>
    <row r="3427">
      <c r="A3427" s="0" t="s">
        <v>6219</v>
      </c>
      <c r="B3427" s="0" t="s">
        <v>6220</v>
      </c>
      <c r="C3427" s="5">
        <f>=HYPERLINK("https://nusmods.com/modules/TCE3132#timetable","Timetable")</f>
      </c>
      <c r="D3427" s="5">
        <f>=HYPERLINK("https://canvas.nus.edu.sg/courses/26013","Canvas course site")</f>
      </c>
      <c r="E3427" s="5">
        <f>=HYPERLINK("https://luminus.nus.edu.sg/modules/ab0706c9-379d-4dc6-9537-4c3edf375c73","LumiNUS course site")</f>
      </c>
      <c r="F3427" s="0" t="s">
        <v>1173</v>
      </c>
      <c r="G3427" s="0" t="s">
        <v>1174</v>
      </c>
      <c r="H3427" s="3">
        <v>27</v>
      </c>
    </row>
    <row r="3428">
      <c r="A3428" s="0" t="s">
        <v>6221</v>
      </c>
      <c r="B3428" s="0" t="s">
        <v>6222</v>
      </c>
      <c r="C3428" s="5">
        <f>=HYPERLINK("https://nusmods.com/modules/TCE3155#timetable","Timetable")</f>
      </c>
      <c r="D3428" s="5"/>
      <c r="E3428" s="5">
        <f>=HYPERLINK("https://luminus.nus.edu.sg/modules/6813d3af-a999-4577-9e47-bb344b31e8a8","LumiNUS course site")</f>
      </c>
      <c r="F3428" s="0" t="s">
        <v>1173</v>
      </c>
      <c r="G3428" s="0" t="s">
        <v>1174</v>
      </c>
      <c r="H3428" s="3">
        <v>32</v>
      </c>
    </row>
    <row r="3429">
      <c r="A3429" s="0" t="s">
        <v>6223</v>
      </c>
      <c r="B3429" s="0" t="s">
        <v>814</v>
      </c>
      <c r="C3429" s="5">
        <f>=HYPERLINK("https://nusmods.com/modules/TCE4103#timetable","Timetable")</f>
      </c>
      <c r="D3429" s="5"/>
      <c r="E3429" s="5">
        <f>=HYPERLINK("https://luminus.nus.edu.sg/modules/762a1393-89cb-47d5-b4aa-c0d2d3e74658","LumiNUS course site")</f>
      </c>
      <c r="F3429" s="0" t="s">
        <v>1173</v>
      </c>
      <c r="G3429" s="0" t="s">
        <v>1174</v>
      </c>
      <c r="H3429" s="3">
        <v>32</v>
      </c>
    </row>
    <row r="3430">
      <c r="A3430" s="0" t="s">
        <v>6224</v>
      </c>
      <c r="B3430" s="0" t="s">
        <v>6225</v>
      </c>
      <c r="C3430" s="5">
        <f>=HYPERLINK("https://nusmods.com/modules/TCE4104#timetable","Timetable")</f>
      </c>
      <c r="D3430" s="5">
        <f>=HYPERLINK("https://canvas.nus.edu.sg/courses/23907","Canvas course site")</f>
      </c>
      <c r="E3430" s="5"/>
      <c r="F3430" s="0" t="s">
        <v>1173</v>
      </c>
      <c r="G3430" s="0" t="s">
        <v>1174</v>
      </c>
      <c r="H3430" s="3">
        <v>27</v>
      </c>
    </row>
    <row r="3431">
      <c r="A3431" s="0" t="s">
        <v>6226</v>
      </c>
      <c r="B3431" s="0" t="s">
        <v>6227</v>
      </c>
      <c r="C3431" s="5">
        <f>=HYPERLINK("https://nusmods.com/modules/TCE4282#timetable","Timetable")</f>
      </c>
      <c r="D3431" s="5">
        <f>=HYPERLINK("https://canvas.nus.edu.sg/courses/23912","Canvas course site")</f>
      </c>
      <c r="E3431" s="5"/>
      <c r="F3431" s="0" t="s">
        <v>1173</v>
      </c>
      <c r="G3431" s="0" t="s">
        <v>1174</v>
      </c>
      <c r="H3431" s="3">
        <v>32</v>
      </c>
    </row>
    <row r="3432">
      <c r="A3432" s="0" t="s">
        <v>6228</v>
      </c>
      <c r="B3432" s="0" t="s">
        <v>866</v>
      </c>
      <c r="C3432" s="5">
        <f>=HYPERLINK("https://nusmods.com/modules/TCE5510#timetable","Timetable")</f>
      </c>
      <c r="D3432" s="5">
        <f>=HYPERLINK("https://canvas.nus.edu.sg/courses/23926","Canvas course site")</f>
      </c>
      <c r="E3432" s="5"/>
      <c r="F3432" s="0" t="s">
        <v>1173</v>
      </c>
      <c r="G3432" s="0" t="s">
        <v>1174</v>
      </c>
      <c r="H3432" s="3">
        <v>5</v>
      </c>
    </row>
    <row r="3433">
      <c r="A3433" s="0" t="s">
        <v>6229</v>
      </c>
      <c r="B3433" s="0" t="s">
        <v>6230</v>
      </c>
      <c r="C3433" s="5">
        <f>=HYPERLINK("https://nusmods.com/modules/TCN1005#timetable","Timetable")</f>
      </c>
      <c r="D3433" s="5"/>
      <c r="E3433" s="5">
        <f>=HYPERLINK("https://luminus.nus.edu.sg/modules/2c4347a1-82c6-4499-bd00-f09935134711","LumiNUS course site")</f>
      </c>
      <c r="F3433" s="0" t="s">
        <v>1173</v>
      </c>
      <c r="G3433" s="0" t="s">
        <v>1174</v>
      </c>
      <c r="H3433" s="3">
        <v>54</v>
      </c>
    </row>
    <row r="3434">
      <c r="A3434" s="0" t="s">
        <v>6231</v>
      </c>
      <c r="B3434" s="0" t="s">
        <v>1144</v>
      </c>
      <c r="C3434" s="5">
        <f>=HYPERLINK("https://nusmods.com/modules/TCN2121#timetable","Timetable")</f>
      </c>
      <c r="D3434" s="5"/>
      <c r="E3434" s="5">
        <f>=HYPERLINK("https://luminus.nus.edu.sg/modules/b09df7d1-7f83-44c6-a23d-1cd9a8543757","LumiNUS course site")</f>
      </c>
      <c r="F3434" s="0" t="s">
        <v>1173</v>
      </c>
      <c r="G3434" s="0" t="s">
        <v>1174</v>
      </c>
      <c r="H3434" s="3">
        <v>43</v>
      </c>
    </row>
    <row r="3435">
      <c r="A3435" s="0" t="s">
        <v>6232</v>
      </c>
      <c r="B3435" s="0" t="s">
        <v>792</v>
      </c>
      <c r="C3435" s="5">
        <f>=HYPERLINK("https://nusmods.com/modules/TCN2122#timetable","Timetable")</f>
      </c>
      <c r="D3435" s="5"/>
      <c r="E3435" s="5">
        <f>=HYPERLINK("https://luminus.nus.edu.sg/modules/cf25fdad-749f-4195-9326-4efa14bdb7b6","LumiNUS course site")</f>
      </c>
      <c r="F3435" s="0" t="s">
        <v>1173</v>
      </c>
      <c r="G3435" s="0" t="s">
        <v>1174</v>
      </c>
      <c r="H3435" s="3">
        <v>42</v>
      </c>
    </row>
    <row r="3436">
      <c r="A3436" s="0" t="s">
        <v>6233</v>
      </c>
      <c r="B3436" s="0" t="s">
        <v>1159</v>
      </c>
      <c r="C3436" s="5">
        <f>=HYPERLINK("https://nusmods.com/modules/TCN3121#timetable","Timetable")</f>
      </c>
      <c r="D3436" s="5"/>
      <c r="E3436" s="5">
        <f>=HYPERLINK("https://luminus.nus.edu.sg/modules/ec76f6f7-e3e8-473f-87e4-d84c891deedf","LumiNUS course site")</f>
      </c>
      <c r="F3436" s="0" t="s">
        <v>1173</v>
      </c>
      <c r="G3436" s="0" t="s">
        <v>1174</v>
      </c>
      <c r="H3436" s="3">
        <v>15</v>
      </c>
    </row>
    <row r="3437">
      <c r="A3437" s="0" t="s">
        <v>6234</v>
      </c>
      <c r="B3437" s="0" t="s">
        <v>1163</v>
      </c>
      <c r="C3437" s="5">
        <f>=HYPERLINK("https://nusmods.com/modules/TCN3132#timetable","Timetable")</f>
      </c>
      <c r="D3437" s="5"/>
      <c r="E3437" s="5">
        <f>=HYPERLINK("https://luminus.nus.edu.sg/modules/ca781017-47fb-4340-95c1-691ac28bb017","LumiNUS course site")</f>
      </c>
      <c r="F3437" s="0" t="s">
        <v>1173</v>
      </c>
      <c r="G3437" s="0" t="s">
        <v>1174</v>
      </c>
      <c r="H3437" s="3">
        <v>16</v>
      </c>
    </row>
    <row r="3438">
      <c r="A3438" s="0" t="s">
        <v>6235</v>
      </c>
      <c r="B3438" s="0" t="s">
        <v>6236</v>
      </c>
      <c r="C3438" s="5">
        <f>=HYPERLINK("https://nusmods.com/modules/TCN3421#timetable","Timetable")</f>
      </c>
      <c r="D3438" s="5"/>
      <c r="E3438" s="5">
        <f>=HYPERLINK("https://luminus.nus.edu.sg/modules/b8d9cdac-0186-47b7-902a-b0c023e17c89","LumiNUS course site")</f>
      </c>
      <c r="F3438" s="0" t="s">
        <v>1173</v>
      </c>
      <c r="G3438" s="0" t="s">
        <v>1174</v>
      </c>
      <c r="H3438" s="3">
        <v>19</v>
      </c>
    </row>
    <row r="3439">
      <c r="A3439" s="0" t="s">
        <v>6237</v>
      </c>
      <c r="B3439" s="0" t="s">
        <v>1172</v>
      </c>
      <c r="C3439" s="5">
        <f>=HYPERLINK("https://nusmods.com/modules/TCN4119#timetable","Timetable")</f>
      </c>
      <c r="D3439" s="5"/>
      <c r="E3439" s="5"/>
      <c r="F3439" s="0" t="s">
        <v>1173</v>
      </c>
      <c r="G3439" s="0" t="s">
        <v>1174</v>
      </c>
      <c r="H3439" s="3">
        <v>5</v>
      </c>
    </row>
    <row r="3440">
      <c r="A3440" s="0" t="s">
        <v>6238</v>
      </c>
      <c r="B3440" s="0" t="s">
        <v>1176</v>
      </c>
      <c r="C3440" s="5">
        <f>=HYPERLINK("https://nusmods.com/modules/TCN4122#timetable","Timetable")</f>
      </c>
      <c r="D3440" s="5"/>
      <c r="E3440" s="5">
        <f>=HYPERLINK("https://luminus.nus.edu.sg/modules/c66014c3-9622-4be9-9967-14201e167668","LumiNUS course site")</f>
      </c>
      <c r="F3440" s="0" t="s">
        <v>1173</v>
      </c>
      <c r="G3440" s="0" t="s">
        <v>1174</v>
      </c>
      <c r="H3440" s="3">
        <v>32</v>
      </c>
    </row>
    <row r="3441">
      <c r="A3441" s="0" t="s">
        <v>6239</v>
      </c>
      <c r="B3441" s="0" t="s">
        <v>1184</v>
      </c>
      <c r="C3441" s="5">
        <f>=HYPERLINK("https://nusmods.com/modules/TCN4208#timetable","Timetable")</f>
      </c>
      <c r="D3441" s="5"/>
      <c r="E3441" s="5">
        <f>=HYPERLINK("https://luminus.nus.edu.sg/modules/98eecd4e-ce7a-4b48-898e-f5c1a9c40c69","LumiNUS course site")</f>
      </c>
      <c r="F3441" s="0" t="s">
        <v>1173</v>
      </c>
      <c r="G3441" s="0" t="s">
        <v>1174</v>
      </c>
      <c r="H3441" s="3">
        <v>40</v>
      </c>
    </row>
    <row r="3442">
      <c r="A3442" s="0" t="s">
        <v>6240</v>
      </c>
      <c r="B3442" s="0" t="s">
        <v>1196</v>
      </c>
      <c r="C3442" s="5">
        <f>=HYPERLINK("https://nusmods.com/modules/TCN4246#timetable","Timetable")</f>
      </c>
      <c r="D3442" s="5"/>
      <c r="E3442" s="5">
        <f>=HYPERLINK("https://luminus.nus.edu.sg/modules/a130669b-bb21-4ffa-95e7-9dfc3a3e1027","LumiNUS course site")</f>
      </c>
      <c r="F3442" s="0" t="s">
        <v>1173</v>
      </c>
      <c r="G3442" s="0" t="s">
        <v>1174</v>
      </c>
      <c r="H3442" s="3">
        <v>39</v>
      </c>
    </row>
    <row r="3443">
      <c r="A3443" s="0" t="s">
        <v>6241</v>
      </c>
      <c r="B3443" s="0" t="s">
        <v>6242</v>
      </c>
      <c r="C3443" s="5">
        <f>=HYPERLINK("https://nusmods.com/modules/TE2002#timetable","Timetable")</f>
      </c>
      <c r="D3443" s="5"/>
      <c r="E3443" s="5">
        <f>=HYPERLINK("https://luminus.nus.edu.sg/modules/ebdbc35b-2e5a-4ce0-b21a-f930ad7ed166","LumiNUS course site")</f>
      </c>
      <c r="F3443" s="0" t="s">
        <v>1173</v>
      </c>
      <c r="G3443" s="0" t="s">
        <v>1174</v>
      </c>
      <c r="H3443" s="3">
        <v>0</v>
      </c>
    </row>
    <row r="3444">
      <c r="A3444" s="0" t="s">
        <v>6243</v>
      </c>
      <c r="B3444" s="0" t="s">
        <v>6244</v>
      </c>
      <c r="C3444" s="5">
        <f>=HYPERLINK("https://nusmods.com/modules/TE2003#timetable","Timetable")</f>
      </c>
      <c r="D3444" s="5"/>
      <c r="E3444" s="5">
        <f>=HYPERLINK("https://luminus.nus.edu.sg/modules/a076692a-b03b-46f4-9aca-fbea96fa58f5","LumiNUS course site")</f>
      </c>
      <c r="F3444" s="0" t="s">
        <v>1173</v>
      </c>
      <c r="G3444" s="0" t="s">
        <v>1174</v>
      </c>
      <c r="H3444" s="3">
        <v>0</v>
      </c>
    </row>
    <row r="3445">
      <c r="A3445" s="0" t="s">
        <v>6245</v>
      </c>
      <c r="B3445" s="0" t="s">
        <v>6225</v>
      </c>
      <c r="C3445" s="5">
        <f>=HYPERLINK("https://nusmods.com/modules/TE4001#timetable","Timetable")</f>
      </c>
      <c r="D3445" s="5"/>
      <c r="E3445" s="5"/>
      <c r="F3445" s="0" t="s">
        <v>1173</v>
      </c>
      <c r="G3445" s="0" t="s">
        <v>1174</v>
      </c>
      <c r="H3445" s="3">
        <v>0</v>
      </c>
    </row>
    <row r="3446">
      <c r="A3446" s="0" t="s">
        <v>6246</v>
      </c>
      <c r="B3446" s="0" t="s">
        <v>6242</v>
      </c>
      <c r="C3446" s="5">
        <f>=HYPERLINK("https://nusmods.com/modules/TEE2002#timetable","Timetable")</f>
      </c>
      <c r="D3446" s="5"/>
      <c r="E3446" s="5">
        <f>=HYPERLINK("https://luminus.nus.edu.sg/modules/ebdbc35b-2e5a-4ce0-b21a-f930ad7ed166","LumiNUS course site")</f>
      </c>
      <c r="F3446" s="0" t="s">
        <v>1173</v>
      </c>
      <c r="G3446" s="0" t="s">
        <v>1174</v>
      </c>
      <c r="H3446" s="3">
        <v>14</v>
      </c>
    </row>
    <row r="3447">
      <c r="A3447" s="0" t="s">
        <v>6247</v>
      </c>
      <c r="B3447" s="0" t="s">
        <v>6244</v>
      </c>
      <c r="C3447" s="5">
        <f>=HYPERLINK("https://nusmods.com/modules/TEE2003#timetable","Timetable")</f>
      </c>
      <c r="D3447" s="5"/>
      <c r="E3447" s="5">
        <f>=HYPERLINK("https://luminus.nus.edu.sg/modules/a076692a-b03b-46f4-9aca-fbea96fa58f5","LumiNUS course site")</f>
      </c>
      <c r="F3447" s="0" t="s">
        <v>1173</v>
      </c>
      <c r="G3447" s="0" t="s">
        <v>1174</v>
      </c>
      <c r="H3447" s="3">
        <v>10</v>
      </c>
    </row>
    <row r="3448">
      <c r="A3448" s="0" t="s">
        <v>6248</v>
      </c>
      <c r="B3448" s="0" t="s">
        <v>1872</v>
      </c>
      <c r="C3448" s="5">
        <f>=HYPERLINK("https://nusmods.com/modules/TEE2027#timetable","Timetable")</f>
      </c>
      <c r="D3448" s="5">
        <f>=HYPERLINK("https://canvas.nus.edu.sg/courses/24032","Canvas course site")</f>
      </c>
      <c r="E3448" s="5">
        <f>=HYPERLINK("https://luminus.nus.edu.sg/modules/f8f0f50d-40ef-48b7-9c48-3bdcf1a66dbf","LumiNUS course site")</f>
      </c>
      <c r="F3448" s="0" t="s">
        <v>1173</v>
      </c>
      <c r="G3448" s="0" t="s">
        <v>1174</v>
      </c>
      <c r="H3448" s="3">
        <v>41</v>
      </c>
    </row>
    <row r="3449">
      <c r="A3449" s="0" t="s">
        <v>6249</v>
      </c>
      <c r="B3449" s="0" t="s">
        <v>1874</v>
      </c>
      <c r="C3449" s="5">
        <f>=HYPERLINK("https://nusmods.com/modules/TEE2028#timetable","Timetable")</f>
      </c>
      <c r="D3449" s="5">
        <f>=HYPERLINK("https://canvas.nus.edu.sg/courses/24036","Canvas course site")</f>
      </c>
      <c r="E3449" s="5"/>
      <c r="F3449" s="0" t="s">
        <v>1173</v>
      </c>
      <c r="G3449" s="0" t="s">
        <v>1174</v>
      </c>
      <c r="H3449" s="3">
        <v>24</v>
      </c>
    </row>
    <row r="3450">
      <c r="A3450" s="0" t="s">
        <v>6250</v>
      </c>
      <c r="B3450" s="0" t="s">
        <v>1866</v>
      </c>
      <c r="C3450" s="5">
        <f>=HYPERLINK("https://nusmods.com/modules/TEE3506#timetable","Timetable")</f>
      </c>
      <c r="D3450" s="5"/>
      <c r="E3450" s="5">
        <f>=HYPERLINK("https://luminus.nus.edu.sg/modules/e5374978-7f08-45ed-b92c-51fe86ab0618","LumiNUS course site")</f>
      </c>
      <c r="F3450" s="0" t="s">
        <v>1173</v>
      </c>
      <c r="G3450" s="0" t="s">
        <v>1174</v>
      </c>
      <c r="H3450" s="3">
        <v>27</v>
      </c>
    </row>
    <row r="3451">
      <c r="A3451" s="0" t="s">
        <v>6251</v>
      </c>
      <c r="B3451" s="0" t="s">
        <v>6225</v>
      </c>
      <c r="C3451" s="5">
        <f>=HYPERLINK("https://nusmods.com/modules/TEE4001#timetable","Timetable")</f>
      </c>
      <c r="D3451" s="5"/>
      <c r="E3451" s="5"/>
      <c r="F3451" s="0" t="s">
        <v>1173</v>
      </c>
      <c r="G3451" s="0" t="s">
        <v>1174</v>
      </c>
      <c r="H3451" s="3">
        <v>43</v>
      </c>
    </row>
    <row r="3452">
      <c r="A3452" s="0" t="s">
        <v>6252</v>
      </c>
      <c r="B3452" s="0" t="s">
        <v>6253</v>
      </c>
      <c r="C3452" s="5">
        <f>=HYPERLINK("https://nusmods.com/modules/TEE4101#timetable","Timetable")</f>
      </c>
      <c r="D3452" s="5"/>
      <c r="E3452" s="5">
        <f>=HYPERLINK("https://luminus.nus.edu.sg/modules/a13d0d57-022d-471a-8717-c34a9fb79112","LumiNUS course site")</f>
      </c>
      <c r="F3452" s="0" t="s">
        <v>1173</v>
      </c>
      <c r="G3452" s="0" t="s">
        <v>1174</v>
      </c>
      <c r="H3452" s="3">
        <v>23</v>
      </c>
    </row>
    <row r="3453">
      <c r="A3453" s="0" t="s">
        <v>6254</v>
      </c>
      <c r="B3453" s="0" t="s">
        <v>1911</v>
      </c>
      <c r="C3453" s="5">
        <f>=HYPERLINK("https://nusmods.com/modules/TEE4204#timetable","Timetable")</f>
      </c>
      <c r="D3453" s="5"/>
      <c r="E3453" s="5">
        <f>=HYPERLINK("https://luminus.nus.edu.sg/modules/2f679b63-0b22-4cf8-bfe6-d2ce9e0db81d","LumiNUS course site")</f>
      </c>
      <c r="F3453" s="0" t="s">
        <v>1173</v>
      </c>
      <c r="G3453" s="0" t="s">
        <v>1174</v>
      </c>
      <c r="H3453" s="3">
        <v>24</v>
      </c>
    </row>
    <row r="3454">
      <c r="A3454" s="0" t="s">
        <v>6255</v>
      </c>
      <c r="B3454" s="0" t="s">
        <v>1914</v>
      </c>
      <c r="C3454" s="5">
        <f>=HYPERLINK("https://nusmods.com/modules/TEE4211#timetable","Timetable")</f>
      </c>
      <c r="D3454" s="5"/>
      <c r="E3454" s="5">
        <f>=HYPERLINK("https://luminus.nus.edu.sg/modules/60cb9ce6-8fcd-47a7-9840-bbeee2fe1ad5","LumiNUS course site")</f>
      </c>
      <c r="F3454" s="0" t="s">
        <v>1173</v>
      </c>
      <c r="G3454" s="0" t="s">
        <v>1174</v>
      </c>
      <c r="H3454" s="3">
        <v>39</v>
      </c>
    </row>
    <row r="3455">
      <c r="A3455" s="0" t="s">
        <v>6256</v>
      </c>
      <c r="B3455" s="0" t="s">
        <v>1924</v>
      </c>
      <c r="C3455" s="5">
        <f>=HYPERLINK("https://nusmods.com/modules/TEE4436#timetable","Timetable")</f>
      </c>
      <c r="D3455" s="5"/>
      <c r="E3455" s="5">
        <f>=HYPERLINK("https://luminus.nus.edu.sg/modules/d104f5f9-ac0c-4af6-a2c9-fef6baefb45d","LumiNUS course site")</f>
      </c>
      <c r="F3455" s="0" t="s">
        <v>1173</v>
      </c>
      <c r="G3455" s="0" t="s">
        <v>1174</v>
      </c>
      <c r="H3455" s="3">
        <v>41</v>
      </c>
    </row>
    <row r="3456">
      <c r="A3456" s="0" t="s">
        <v>6257</v>
      </c>
      <c r="B3456" s="0" t="s">
        <v>6258</v>
      </c>
      <c r="C3456" s="5">
        <f>=HYPERLINK("https://nusmods.com/modules/TG1401#timetable","Timetable")</f>
      </c>
      <c r="D3456" s="5"/>
      <c r="E3456" s="5">
        <f>=HYPERLINK("https://luminus.nus.edu.sg/modules/aac88002-47ae-456f-966e-af2a74682dcc","LumiNUS course site")</f>
      </c>
      <c r="F3456" s="0" t="s">
        <v>1173</v>
      </c>
      <c r="G3456" s="0" t="s">
        <v>1174</v>
      </c>
      <c r="H3456" s="3">
        <v>0</v>
      </c>
    </row>
    <row r="3457">
      <c r="A3457" s="0" t="s">
        <v>6259</v>
      </c>
      <c r="B3457" s="0" t="s">
        <v>6260</v>
      </c>
      <c r="C3457" s="5">
        <f>=HYPERLINK("https://nusmods.com/modules/TG3001#timetable","Timetable")</f>
      </c>
      <c r="D3457" s="5"/>
      <c r="E3457" s="5"/>
      <c r="F3457" s="0" t="s">
        <v>1173</v>
      </c>
      <c r="G3457" s="0" t="s">
        <v>1174</v>
      </c>
      <c r="H3457" s="3">
        <v>0</v>
      </c>
    </row>
    <row r="3458">
      <c r="A3458" s="0" t="s">
        <v>6261</v>
      </c>
      <c r="B3458" s="0" t="s">
        <v>6260</v>
      </c>
      <c r="C3458" s="5">
        <f>=HYPERLINK("https://nusmods.com/modules/TG3002#timetable","Timetable")</f>
      </c>
      <c r="D3458" s="5"/>
      <c r="E3458" s="5"/>
      <c r="F3458" s="0" t="s">
        <v>1173</v>
      </c>
      <c r="G3458" s="0" t="s">
        <v>1174</v>
      </c>
      <c r="H3458" s="3">
        <v>0</v>
      </c>
    </row>
    <row r="3459">
      <c r="A3459" s="0" t="s">
        <v>6262</v>
      </c>
      <c r="B3459" s="0" t="s">
        <v>6263</v>
      </c>
      <c r="C3459" s="5">
        <f>=HYPERLINK("https://nusmods.com/modules/TIC1001#timetable","Timetable")</f>
      </c>
      <c r="D3459" s="5"/>
      <c r="E3459" s="5">
        <f>=HYPERLINK("https://luminus.nus.edu.sg/modules/374c53c5-b2a5-486f-ad1e-fcb466e40956","LumiNUS course site")</f>
      </c>
      <c r="F3459" s="0" t="s">
        <v>1173</v>
      </c>
      <c r="G3459" s="0" t="s">
        <v>1174</v>
      </c>
      <c r="H3459" s="3">
        <v>57</v>
      </c>
    </row>
    <row r="3460">
      <c r="A3460" s="0" t="s">
        <v>6264</v>
      </c>
      <c r="B3460" s="0" t="s">
        <v>6265</v>
      </c>
      <c r="C3460" s="5">
        <f>=HYPERLINK("https://nusmods.com/modules/TIC1101#timetable","Timetable")</f>
      </c>
      <c r="D3460" s="5">
        <f>=HYPERLINK("https://canvas.nus.edu.sg/courses/24094","Canvas course site")</f>
      </c>
      <c r="E3460" s="5"/>
      <c r="F3460" s="0" t="s">
        <v>1173</v>
      </c>
      <c r="G3460" s="0" t="s">
        <v>1174</v>
      </c>
      <c r="H3460" s="3">
        <v>32</v>
      </c>
    </row>
    <row r="3461">
      <c r="A3461" s="0" t="s">
        <v>6266</v>
      </c>
      <c r="B3461" s="0" t="s">
        <v>1281</v>
      </c>
      <c r="C3461" s="5">
        <f>=HYPERLINK("https://nusmods.com/modules/TIC2001#timetable","Timetable")</f>
      </c>
      <c r="D3461" s="5"/>
      <c r="E3461" s="5">
        <f>=HYPERLINK("https://luminus.nus.edu.sg/modules/d2c75250-8422-4515-921f-12f7d517ec1f","LumiNUS course site")</f>
      </c>
      <c r="F3461" s="0" t="s">
        <v>1173</v>
      </c>
      <c r="G3461" s="0" t="s">
        <v>1174</v>
      </c>
      <c r="H3461" s="3">
        <v>53</v>
      </c>
    </row>
    <row r="3462">
      <c r="A3462" s="0" t="s">
        <v>6267</v>
      </c>
      <c r="B3462" s="0" t="s">
        <v>6268</v>
      </c>
      <c r="C3462" s="5">
        <f>=HYPERLINK("https://nusmods.com/modules/TIC2002#timetable","Timetable")</f>
      </c>
      <c r="D3462" s="5"/>
      <c r="E3462" s="5">
        <f>=HYPERLINK("https://luminus.nus.edu.sg/modules/115d3d94-d2d7-463f-9e69-1677497c6951","LumiNUS course site")</f>
      </c>
      <c r="F3462" s="0" t="s">
        <v>1173</v>
      </c>
      <c r="G3462" s="0" t="s">
        <v>1174</v>
      </c>
      <c r="H3462" s="3">
        <v>33</v>
      </c>
    </row>
    <row r="3463">
      <c r="A3463" s="0" t="s">
        <v>6269</v>
      </c>
      <c r="B3463" s="0" t="s">
        <v>6270</v>
      </c>
      <c r="C3463" s="5">
        <f>=HYPERLINK("https://nusmods.com/modules/TIC2101#timetable","Timetable")</f>
      </c>
      <c r="D3463" s="5">
        <f>=HYPERLINK("https://canvas.nus.edu.sg/courses/24112","Canvas course site")</f>
      </c>
      <c r="E3463" s="5">
        <f>=HYPERLINK("https://luminus.nus.edu.sg/modules/80df8798-6a1a-49c5-83aa-2be2e7691c2a","LumiNUS course site")</f>
      </c>
      <c r="F3463" s="0" t="s">
        <v>1173</v>
      </c>
      <c r="G3463" s="0" t="s">
        <v>1174</v>
      </c>
      <c r="H3463" s="3">
        <v>53</v>
      </c>
    </row>
    <row r="3464">
      <c r="A3464" s="0" t="s">
        <v>6271</v>
      </c>
      <c r="B3464" s="0" t="s">
        <v>1302</v>
      </c>
      <c r="C3464" s="5">
        <f>=HYPERLINK("https://nusmods.com/modules/TIC2301#timetable","Timetable")</f>
      </c>
      <c r="D3464" s="5"/>
      <c r="E3464" s="5">
        <f>=HYPERLINK("https://luminus.nus.edu.sg/modules/88eb9416-5c4e-40ea-9e19-ddb9aa271372","LumiNUS course site")</f>
      </c>
      <c r="F3464" s="0" t="s">
        <v>1173</v>
      </c>
      <c r="G3464" s="0" t="s">
        <v>1174</v>
      </c>
      <c r="H3464" s="3">
        <v>41</v>
      </c>
    </row>
    <row r="3465">
      <c r="A3465" s="0" t="s">
        <v>6272</v>
      </c>
      <c r="B3465" s="0" t="s">
        <v>6273</v>
      </c>
      <c r="C3465" s="5">
        <f>=HYPERLINK("https://nusmods.com/modules/TIC2601#timetable","Timetable")</f>
      </c>
      <c r="D3465" s="5">
        <f>=HYPERLINK("https://canvas.nus.edu.sg/courses/24123","Canvas course site")</f>
      </c>
      <c r="E3465" s="5"/>
      <c r="F3465" s="0" t="s">
        <v>1173</v>
      </c>
      <c r="G3465" s="0" t="s">
        <v>1174</v>
      </c>
      <c r="H3465" s="3">
        <v>48</v>
      </c>
    </row>
    <row r="3466">
      <c r="A3466" s="0" t="s">
        <v>6274</v>
      </c>
      <c r="B3466" s="0" t="s">
        <v>6275</v>
      </c>
      <c r="C3466" s="5">
        <f>=HYPERLINK("https://nusmods.com/modules/TIC2901#timetable","Timetable")</f>
      </c>
      <c r="D3466" s="5"/>
      <c r="E3466" s="5">
        <f>=HYPERLINK("https://luminus.nus.edu.sg/modules/ff35f37f-a98a-4e94-a19e-2ce2b03fa3ef","LumiNUS course site")</f>
      </c>
      <c r="F3466" s="0" t="s">
        <v>1173</v>
      </c>
      <c r="G3466" s="0" t="s">
        <v>1174</v>
      </c>
      <c r="H3466" s="3">
        <v>79</v>
      </c>
    </row>
    <row r="3467">
      <c r="A3467" s="0" t="s">
        <v>6276</v>
      </c>
      <c r="B3467" s="0" t="s">
        <v>6260</v>
      </c>
      <c r="C3467" s="5">
        <f>=HYPERLINK("https://nusmods.com/modules/TIC3901#timetable","Timetable")</f>
      </c>
      <c r="D3467" s="5"/>
      <c r="E3467" s="5"/>
      <c r="F3467" s="0" t="s">
        <v>1173</v>
      </c>
      <c r="G3467" s="0" t="s">
        <v>1174</v>
      </c>
      <c r="H3467" s="3">
        <v>79</v>
      </c>
    </row>
    <row r="3468">
      <c r="A3468" s="0" t="s">
        <v>6277</v>
      </c>
      <c r="B3468" s="0" t="s">
        <v>6278</v>
      </c>
      <c r="C3468" s="5">
        <f>=HYPERLINK("https://nusmods.com/modules/TIC4001#timetable","Timetable")</f>
      </c>
      <c r="D3468" s="5"/>
      <c r="E3468" s="5">
        <f>=HYPERLINK("https://luminus.nus.edu.sg/modules/631187f4-da9b-435a-ac1a-7fa67196b6a5","LumiNUS course site")</f>
      </c>
      <c r="F3468" s="0" t="s">
        <v>1173</v>
      </c>
      <c r="G3468" s="0" t="s">
        <v>1174</v>
      </c>
      <c r="H3468" s="3">
        <v>2</v>
      </c>
    </row>
    <row r="3469">
      <c r="A3469" s="0" t="s">
        <v>6279</v>
      </c>
      <c r="B3469" s="0" t="s">
        <v>6280</v>
      </c>
      <c r="C3469" s="5">
        <f>=HYPERLINK("https://nusmods.com/modules/TIC4005#timetable","Timetable")</f>
      </c>
      <c r="D3469" s="5">
        <f>=HYPERLINK("https://canvas.nus.edu.sg/courses/24144","Canvas course site")</f>
      </c>
      <c r="E3469" s="5"/>
      <c r="F3469" s="0" t="s">
        <v>1173</v>
      </c>
      <c r="G3469" s="0" t="s">
        <v>1174</v>
      </c>
      <c r="H3469" s="3">
        <v>30</v>
      </c>
    </row>
    <row r="3470">
      <c r="A3470" s="0" t="s">
        <v>6281</v>
      </c>
      <c r="B3470" s="0" t="s">
        <v>6282</v>
      </c>
      <c r="C3470" s="5">
        <f>=HYPERLINK("https://nusmods.com/modules/TIC4301#timetable","Timetable")</f>
      </c>
      <c r="D3470" s="5"/>
      <c r="E3470" s="5">
        <f>=HYPERLINK("https://luminus.nus.edu.sg/modules/8554a0e6-f1eb-47e3-a26a-7ab2aa2a2506","LumiNUS course site")</f>
      </c>
      <c r="F3470" s="0" t="s">
        <v>1173</v>
      </c>
      <c r="G3470" s="0" t="s">
        <v>1174</v>
      </c>
      <c r="H3470" s="3">
        <v>7</v>
      </c>
    </row>
    <row r="3471">
      <c r="A3471" s="0" t="s">
        <v>6283</v>
      </c>
      <c r="B3471" s="0" t="s">
        <v>1361</v>
      </c>
      <c r="C3471" s="5">
        <f>=HYPERLINK("https://nusmods.com/modules/TIC4303#timetable","Timetable")</f>
      </c>
      <c r="D3471" s="5"/>
      <c r="E3471" s="5">
        <f>=HYPERLINK("https://luminus.nus.edu.sg/modules/c0aca70a-b4b6-4835-9617-a178c9b81396","LumiNUS course site")</f>
      </c>
      <c r="F3471" s="0" t="s">
        <v>1173</v>
      </c>
      <c r="G3471" s="0" t="s">
        <v>1174</v>
      </c>
      <c r="H3471" s="3">
        <v>54</v>
      </c>
    </row>
    <row r="3472">
      <c r="A3472" s="0" t="s">
        <v>6284</v>
      </c>
      <c r="B3472" s="0" t="s">
        <v>6285</v>
      </c>
      <c r="C3472" s="5">
        <f>=HYPERLINK("https://nusmods.com/modules/TIC4305#timetable","Timetable")</f>
      </c>
      <c r="D3472" s="5"/>
      <c r="E3472" s="5">
        <f>=HYPERLINK("https://luminus.nus.edu.sg/modules/af12b6a8-13ef-4873-b16f-7f1d23267162","LumiNUS course site")</f>
      </c>
      <c r="F3472" s="0" t="s">
        <v>1173</v>
      </c>
      <c r="G3472" s="0" t="s">
        <v>1174</v>
      </c>
      <c r="H3472" s="3">
        <v>28</v>
      </c>
    </row>
    <row r="3473">
      <c r="A3473" s="0" t="s">
        <v>6286</v>
      </c>
      <c r="B3473" s="0" t="s">
        <v>751</v>
      </c>
      <c r="C3473" s="5">
        <f>=HYPERLINK("https://nusmods.com/modules/TIC4902B#timetable","Timetable")</f>
      </c>
      <c r="D3473" s="5">
        <f>=HYPERLINK("https://canvas.nus.edu.sg/courses/24164","Canvas course site")</f>
      </c>
      <c r="E3473" s="5"/>
      <c r="F3473" s="0" t="s">
        <v>1173</v>
      </c>
      <c r="G3473" s="0" t="s">
        <v>1174</v>
      </c>
      <c r="H3473" s="3">
        <v>20</v>
      </c>
    </row>
    <row r="3474">
      <c r="A3474" s="0" t="s">
        <v>6287</v>
      </c>
      <c r="B3474" s="0" t="s">
        <v>6288</v>
      </c>
      <c r="C3474" s="5">
        <f>=HYPERLINK("https://nusmods.com/modules/TIC4902C#timetable","Timetable")</f>
      </c>
      <c r="D3474" s="5">
        <f>=HYPERLINK("https://canvas.nus.edu.sg/courses/24168","Canvas course site")</f>
      </c>
      <c r="E3474" s="5"/>
      <c r="F3474" s="0" t="s">
        <v>1173</v>
      </c>
      <c r="G3474" s="0" t="s">
        <v>1174</v>
      </c>
      <c r="H3474" s="3">
        <v>23</v>
      </c>
    </row>
    <row r="3475">
      <c r="A3475" s="0" t="s">
        <v>6289</v>
      </c>
      <c r="B3475" s="0" t="s">
        <v>6290</v>
      </c>
      <c r="C3475" s="5">
        <f>=HYPERLINK("https://nusmods.com/modules/TIC4902S#timetable","Timetable")</f>
      </c>
      <c r="D3475" s="5">
        <f>=HYPERLINK("https://canvas.nus.edu.sg/courses/24174","Canvas course site")</f>
      </c>
      <c r="E3475" s="5"/>
      <c r="F3475" s="0" t="s">
        <v>1173</v>
      </c>
      <c r="G3475" s="0" t="s">
        <v>1174</v>
      </c>
      <c r="H3475" s="3">
        <v>24</v>
      </c>
    </row>
    <row r="3476">
      <c r="A3476" s="0" t="s">
        <v>6291</v>
      </c>
      <c r="B3476" s="0" t="s">
        <v>2925</v>
      </c>
      <c r="C3476" s="5">
        <f>=HYPERLINK("https://nusmods.com/modules/TIE2010#timetable","Timetable")</f>
      </c>
      <c r="D3476" s="5"/>
      <c r="E3476" s="5">
        <f>=HYPERLINK("https://luminus.nus.edu.sg/modules/940d878c-ba2c-4d00-afad-d3ddf6728be3","LumiNUS course site")</f>
      </c>
      <c r="F3476" s="0" t="s">
        <v>1173</v>
      </c>
      <c r="G3476" s="0" t="s">
        <v>1174</v>
      </c>
      <c r="H3476" s="3">
        <v>71</v>
      </c>
    </row>
    <row r="3477">
      <c r="A3477" s="0" t="s">
        <v>6292</v>
      </c>
      <c r="B3477" s="0" t="s">
        <v>6293</v>
      </c>
      <c r="C3477" s="5">
        <f>=HYPERLINK("https://nusmods.com/modules/TIE2030#timetable","Timetable")</f>
      </c>
      <c r="D3477" s="5"/>
      <c r="E3477" s="5">
        <f>=HYPERLINK("https://luminus.nus.edu.sg/modules/df938836-fb62-4063-8c77-ea7a333703dd","LumiNUS course site")</f>
      </c>
      <c r="F3477" s="0" t="s">
        <v>1173</v>
      </c>
      <c r="G3477" s="0" t="s">
        <v>1174</v>
      </c>
      <c r="H3477" s="3">
        <v>106</v>
      </c>
    </row>
    <row r="3478">
      <c r="A3478" s="0" t="s">
        <v>6294</v>
      </c>
      <c r="B3478" s="0" t="s">
        <v>2927</v>
      </c>
      <c r="C3478" s="5">
        <f>=HYPERLINK("https://nusmods.com/modules/TIE2110#timetable","Timetable")</f>
      </c>
      <c r="D3478" s="5"/>
      <c r="E3478" s="5">
        <f>=HYPERLINK("https://luminus.nus.edu.sg/modules/6a474d1f-4470-4c16-afdb-ac2be0c6f565","LumiNUS course site")</f>
      </c>
      <c r="F3478" s="0" t="s">
        <v>1173</v>
      </c>
      <c r="G3478" s="0" t="s">
        <v>1174</v>
      </c>
      <c r="H3478" s="3">
        <v>59</v>
      </c>
    </row>
    <row r="3479">
      <c r="A3479" s="0" t="s">
        <v>6295</v>
      </c>
      <c r="B3479" s="0" t="s">
        <v>2929</v>
      </c>
      <c r="C3479" s="5">
        <f>=HYPERLINK("https://nusmods.com/modules/TIE2130#timetable","Timetable")</f>
      </c>
      <c r="D3479" s="5">
        <f>=HYPERLINK("https://canvas.nus.edu.sg/courses/24191","Canvas course site")</f>
      </c>
      <c r="E3479" s="5"/>
      <c r="F3479" s="0" t="s">
        <v>1173</v>
      </c>
      <c r="G3479" s="0" t="s">
        <v>1174</v>
      </c>
      <c r="H3479" s="3">
        <v>36</v>
      </c>
    </row>
    <row r="3480">
      <c r="A3480" s="0" t="s">
        <v>6296</v>
      </c>
      <c r="B3480" s="0" t="s">
        <v>1700</v>
      </c>
      <c r="C3480" s="5">
        <f>=HYPERLINK("https://nusmods.com/modules/TIE3100#timetable","Timetable")</f>
      </c>
      <c r="D3480" s="5">
        <f>=HYPERLINK("https://canvas.nus.edu.sg/courses/24196","Canvas course site")</f>
      </c>
      <c r="E3480" s="5"/>
      <c r="F3480" s="0" t="s">
        <v>1173</v>
      </c>
      <c r="G3480" s="0" t="s">
        <v>1174</v>
      </c>
      <c r="H3480" s="3">
        <v>36</v>
      </c>
    </row>
    <row r="3481">
      <c r="A3481" s="0" t="s">
        <v>6297</v>
      </c>
      <c r="B3481" s="0" t="s">
        <v>6298</v>
      </c>
      <c r="C3481" s="5">
        <f>=HYPERLINK("https://nusmods.com/modules/TIE3101#timetable","Timetable")</f>
      </c>
      <c r="D3481" s="5"/>
      <c r="E3481" s="5">
        <f>=HYPERLINK("https://luminus.nus.edu.sg/modules/543c6d58-e1ba-4e9e-a48f-f26e4aa7d450","LumiNUS course site")</f>
      </c>
      <c r="F3481" s="0" t="s">
        <v>1173</v>
      </c>
      <c r="G3481" s="0" t="s">
        <v>1174</v>
      </c>
      <c r="H3481" s="3">
        <v>47</v>
      </c>
    </row>
    <row r="3482">
      <c r="A3482" s="0" t="s">
        <v>6299</v>
      </c>
      <c r="B3482" s="0" t="s">
        <v>2943</v>
      </c>
      <c r="C3482" s="5">
        <f>=HYPERLINK("https://nusmods.com/modules/TIE3110#timetable","Timetable")</f>
      </c>
      <c r="D3482" s="5">
        <f>=HYPERLINK("https://canvas.nus.edu.sg/courses/24205","Canvas course site")</f>
      </c>
      <c r="E3482" s="5"/>
      <c r="F3482" s="0" t="s">
        <v>1173</v>
      </c>
      <c r="G3482" s="0" t="s">
        <v>1174</v>
      </c>
      <c r="H3482" s="3">
        <v>48</v>
      </c>
    </row>
    <row r="3483">
      <c r="A3483" s="0" t="s">
        <v>6300</v>
      </c>
      <c r="B3483" s="0" t="s">
        <v>1172</v>
      </c>
      <c r="C3483" s="5">
        <f>=HYPERLINK("https://nusmods.com/modules/TIE4101#timetable","Timetable")</f>
      </c>
      <c r="D3483" s="5">
        <f>=HYPERLINK("https://canvas.nus.edu.sg/courses/24208","Canvas course site")</f>
      </c>
      <c r="E3483" s="5"/>
      <c r="F3483" s="0" t="s">
        <v>1173</v>
      </c>
      <c r="G3483" s="0" t="s">
        <v>1174</v>
      </c>
      <c r="H3483" s="3">
        <v>43</v>
      </c>
    </row>
    <row r="3484">
      <c r="A3484" s="0" t="s">
        <v>6301</v>
      </c>
      <c r="B3484" s="0" t="s">
        <v>6302</v>
      </c>
      <c r="C3484" s="5">
        <f>=HYPERLINK("https://nusmods.com/modules/TIE4203#timetable","Timetable")</f>
      </c>
      <c r="D3484" s="5"/>
      <c r="E3484" s="5">
        <f>=HYPERLINK("https://luminus.nus.edu.sg/modules/56519c92-cc81-43d3-9d8d-ffce84e53bec","LumiNUS course site")</f>
      </c>
      <c r="F3484" s="0" t="s">
        <v>1173</v>
      </c>
      <c r="G3484" s="0" t="s">
        <v>1174</v>
      </c>
      <c r="H3484" s="3">
        <v>47</v>
      </c>
    </row>
    <row r="3485">
      <c r="A3485" s="0" t="s">
        <v>6303</v>
      </c>
      <c r="B3485" s="0" t="s">
        <v>2950</v>
      </c>
      <c r="C3485" s="5">
        <f>=HYPERLINK("https://nusmods.com/modules/TIE4240#timetable","Timetable")</f>
      </c>
      <c r="D3485" s="5">
        <f>=HYPERLINK("https://canvas.nus.edu.sg/courses/24216","Canvas course site")</f>
      </c>
      <c r="E3485" s="5"/>
      <c r="F3485" s="0" t="s">
        <v>1173</v>
      </c>
      <c r="G3485" s="0" t="s">
        <v>1174</v>
      </c>
      <c r="H3485" s="3">
        <v>51</v>
      </c>
    </row>
    <row r="3486">
      <c r="A3486" s="0" t="s">
        <v>6304</v>
      </c>
      <c r="B3486" s="0" t="s">
        <v>6305</v>
      </c>
      <c r="C3486" s="5">
        <f>=HYPERLINK("https://nusmods.com/modules/TIE4252#timetable","Timetable")</f>
      </c>
      <c r="D3486" s="5">
        <f>=HYPERLINK("https://canvas.nus.edu.sg/courses/24225","Canvas course site")</f>
      </c>
      <c r="E3486" s="5"/>
      <c r="F3486" s="0" t="s">
        <v>1173</v>
      </c>
      <c r="G3486" s="0" t="s">
        <v>1174</v>
      </c>
      <c r="H3486" s="3">
        <v>36</v>
      </c>
    </row>
    <row r="3487">
      <c r="A3487" s="0" t="s">
        <v>6306</v>
      </c>
      <c r="B3487" s="0" t="s">
        <v>1172</v>
      </c>
      <c r="C3487" s="5">
        <f>=HYPERLINK("https://nusmods.com/modules/TM4102#timetable","Timetable")</f>
      </c>
      <c r="D3487" s="5"/>
      <c r="E3487" s="5"/>
      <c r="F3487" s="0" t="s">
        <v>1173</v>
      </c>
      <c r="G3487" s="0" t="s">
        <v>1174</v>
      </c>
      <c r="H3487" s="3">
        <v>1</v>
      </c>
    </row>
    <row r="3488">
      <c r="A3488" s="0" t="s">
        <v>6307</v>
      </c>
      <c r="B3488" s="0" t="s">
        <v>3898</v>
      </c>
      <c r="C3488" s="5">
        <f>=HYPERLINK("https://nusmods.com/modules/TMA1001#timetable","Timetable")</f>
      </c>
      <c r="D3488" s="5"/>
      <c r="E3488" s="5">
        <f>=HYPERLINK("https://luminus.nus.edu.sg/modules/5d5da074-92e6-4a30-8dd9-7c2927d3b90e","LumiNUS course site")</f>
      </c>
      <c r="F3488" s="0" t="s">
        <v>1173</v>
      </c>
      <c r="G3488" s="0" t="s">
        <v>1174</v>
      </c>
      <c r="H3488" s="3">
        <v>54</v>
      </c>
    </row>
    <row r="3489">
      <c r="A3489" s="0" t="s">
        <v>6308</v>
      </c>
      <c r="B3489" s="0" t="s">
        <v>6064</v>
      </c>
      <c r="C3489" s="5">
        <f>=HYPERLINK("https://nusmods.com/modules/TMA2103#timetable","Timetable")</f>
      </c>
      <c r="D3489" s="5"/>
      <c r="E3489" s="5">
        <f>=HYPERLINK("https://luminus.nus.edu.sg/modules/778653ce-134a-4ddb-9364-36ae1bf1e866","LumiNUS course site")</f>
      </c>
      <c r="F3489" s="0" t="s">
        <v>1173</v>
      </c>
      <c r="G3489" s="0" t="s">
        <v>1174</v>
      </c>
      <c r="H3489" s="3">
        <v>94</v>
      </c>
    </row>
    <row r="3490">
      <c r="A3490" s="0" t="s">
        <v>6309</v>
      </c>
      <c r="B3490" s="0" t="s">
        <v>6310</v>
      </c>
      <c r="C3490" s="5">
        <f>=HYPERLINK("https://nusmods.com/modules/TME2121#timetable","Timetable")</f>
      </c>
      <c r="D3490" s="5">
        <f>=HYPERLINK("https://canvas.nus.edu.sg/courses/24242","Canvas course site")</f>
      </c>
      <c r="E3490" s="5"/>
      <c r="F3490" s="0" t="s">
        <v>1173</v>
      </c>
      <c r="G3490" s="0" t="s">
        <v>1174</v>
      </c>
      <c r="H3490" s="3">
        <v>24</v>
      </c>
    </row>
    <row r="3491">
      <c r="A3491" s="0" t="s">
        <v>6311</v>
      </c>
      <c r="B3491" s="0" t="s">
        <v>4081</v>
      </c>
      <c r="C3491" s="5">
        <f>=HYPERLINK("https://nusmods.com/modules/TME2134#timetable","Timetable")</f>
      </c>
      <c r="D3491" s="5"/>
      <c r="E3491" s="5">
        <f>=HYPERLINK("https://luminus.nus.edu.sg/modules/ac2453e7-4d9d-4ea2-8d94-cf51659ed541","LumiNUS course site")</f>
      </c>
      <c r="F3491" s="0" t="s">
        <v>1173</v>
      </c>
      <c r="G3491" s="0" t="s">
        <v>1174</v>
      </c>
      <c r="H3491" s="3">
        <v>30</v>
      </c>
    </row>
    <row r="3492">
      <c r="A3492" s="0" t="s">
        <v>6312</v>
      </c>
      <c r="B3492" s="0" t="s">
        <v>1888</v>
      </c>
      <c r="C3492" s="5">
        <f>=HYPERLINK("https://nusmods.com/modules/TME2142#timetable","Timetable")</f>
      </c>
      <c r="D3492" s="5">
        <f>=HYPERLINK("https://canvas.nus.edu.sg/courses/24252","Canvas course site")</f>
      </c>
      <c r="E3492" s="5"/>
      <c r="F3492" s="0" t="s">
        <v>1173</v>
      </c>
      <c r="G3492" s="0" t="s">
        <v>1174</v>
      </c>
      <c r="H3492" s="3">
        <v>50</v>
      </c>
    </row>
    <row r="3493">
      <c r="A3493" s="0" t="s">
        <v>6313</v>
      </c>
      <c r="B3493" s="0" t="s">
        <v>6314</v>
      </c>
      <c r="C3493" s="5">
        <f>=HYPERLINK("https://nusmods.com/modules/TME2151#timetable","Timetable")</f>
      </c>
      <c r="D3493" s="5"/>
      <c r="E3493" s="5">
        <f>=HYPERLINK("https://luminus.nus.edu.sg/modules/7ac2b019-72b7-4b7a-ba42-0de56acb8b2b","LumiNUS course site")</f>
      </c>
      <c r="F3493" s="0" t="s">
        <v>1173</v>
      </c>
      <c r="G3493" s="0" t="s">
        <v>1174</v>
      </c>
      <c r="H3493" s="3">
        <v>34</v>
      </c>
    </row>
    <row r="3494">
      <c r="A3494" s="0" t="s">
        <v>6315</v>
      </c>
      <c r="B3494" s="0" t="s">
        <v>6316</v>
      </c>
      <c r="C3494" s="5">
        <f>=HYPERLINK("https://nusmods.com/modules/TME2162#timetable","Timetable")</f>
      </c>
      <c r="D3494" s="5">
        <f>=HYPERLINK("https://canvas.nus.edu.sg/courses/24259","Canvas course site")</f>
      </c>
      <c r="E3494" s="5"/>
      <c r="F3494" s="0" t="s">
        <v>1173</v>
      </c>
      <c r="G3494" s="0" t="s">
        <v>1174</v>
      </c>
      <c r="H3494" s="3">
        <v>41</v>
      </c>
    </row>
    <row r="3495">
      <c r="A3495" s="0" t="s">
        <v>6317</v>
      </c>
      <c r="B3495" s="0" t="s">
        <v>6242</v>
      </c>
      <c r="C3495" s="5">
        <f>=HYPERLINK("https://nusmods.com/modules/TME2401#timetable","Timetable")</f>
      </c>
      <c r="D3495" s="5"/>
      <c r="E3495" s="5">
        <f>=HYPERLINK("https://luminus.nus.edu.sg/modules/2ce1d520-eaa5-4da1-9322-ed69db9d5828","LumiNUS course site")</f>
      </c>
      <c r="F3495" s="0" t="s">
        <v>1173</v>
      </c>
      <c r="G3495" s="0" t="s">
        <v>1174</v>
      </c>
      <c r="H3495" s="3">
        <v>29</v>
      </c>
    </row>
    <row r="3496">
      <c r="A3496" s="0" t="s">
        <v>6318</v>
      </c>
      <c r="B3496" s="0" t="s">
        <v>4100</v>
      </c>
      <c r="C3496" s="5">
        <f>=HYPERLINK("https://nusmods.com/modules/TME3242#timetable","Timetable")</f>
      </c>
      <c r="D3496" s="5">
        <f>=HYPERLINK("https://canvas.nus.edu.sg/courses/24279","Canvas course site")</f>
      </c>
      <c r="E3496" s="5"/>
      <c r="F3496" s="0" t="s">
        <v>1173</v>
      </c>
      <c r="G3496" s="0" t="s">
        <v>1174</v>
      </c>
      <c r="H3496" s="3">
        <v>44</v>
      </c>
    </row>
    <row r="3497">
      <c r="A3497" s="0" t="s">
        <v>6319</v>
      </c>
      <c r="B3497" s="0" t="s">
        <v>4108</v>
      </c>
      <c r="C3497" s="5">
        <f>=HYPERLINK("https://nusmods.com/modules/TME3261#timetable","Timetable")</f>
      </c>
      <c r="D3497" s="5"/>
      <c r="E3497" s="5">
        <f>=HYPERLINK("https://luminus.nus.edu.sg/modules/059882f3-de36-4451-84e6-914d70153cd5","LumiNUS course site")</f>
      </c>
      <c r="F3497" s="0" t="s">
        <v>1173</v>
      </c>
      <c r="G3497" s="0" t="s">
        <v>1174</v>
      </c>
      <c r="H3497" s="3">
        <v>22</v>
      </c>
    </row>
    <row r="3498">
      <c r="A3498" s="0" t="s">
        <v>6320</v>
      </c>
      <c r="B3498" s="0" t="s">
        <v>4112</v>
      </c>
      <c r="C3498" s="5">
        <f>=HYPERLINK("https://nusmods.com/modules/TME3273#timetable","Timetable")</f>
      </c>
      <c r="D3498" s="5"/>
      <c r="E3498" s="5">
        <f>=HYPERLINK("https://luminus.nus.edu.sg/modules/288538a7-6ce7-4ab3-9bd6-50452740e0fe","LumiNUS course site")</f>
      </c>
      <c r="F3498" s="0" t="s">
        <v>1173</v>
      </c>
      <c r="G3498" s="0" t="s">
        <v>1174</v>
      </c>
      <c r="H3498" s="3">
        <v>48</v>
      </c>
    </row>
    <row r="3499">
      <c r="A3499" s="0" t="s">
        <v>6321</v>
      </c>
      <c r="B3499" s="0" t="s">
        <v>1172</v>
      </c>
      <c r="C3499" s="5">
        <f>=HYPERLINK("https://nusmods.com/modules/TME4102#timetable","Timetable")</f>
      </c>
      <c r="D3499" s="5"/>
      <c r="E3499" s="5"/>
      <c r="F3499" s="0" t="s">
        <v>1173</v>
      </c>
      <c r="G3499" s="0" t="s">
        <v>1174</v>
      </c>
      <c r="H3499" s="3">
        <v>55</v>
      </c>
    </row>
    <row r="3500">
      <c r="A3500" s="0" t="s">
        <v>6322</v>
      </c>
      <c r="B3500" s="0" t="s">
        <v>4124</v>
      </c>
      <c r="C3500" s="5">
        <f>=HYPERLINK("https://nusmods.com/modules/TME4223#timetable","Timetable")</f>
      </c>
      <c r="D3500" s="5">
        <f>=HYPERLINK("https://canvas.nus.edu.sg/courses/24292","Canvas course site")</f>
      </c>
      <c r="E3500" s="5"/>
      <c r="F3500" s="0" t="s">
        <v>1173</v>
      </c>
      <c r="G3500" s="0" t="s">
        <v>1174</v>
      </c>
      <c r="H3500" s="3">
        <v>19</v>
      </c>
    </row>
    <row r="3501">
      <c r="A3501" s="0" t="s">
        <v>6323</v>
      </c>
      <c r="B3501" s="0" t="s">
        <v>4135</v>
      </c>
      <c r="C3501" s="5">
        <f>=HYPERLINK("https://nusmods.com/modules/TME4245#timetable","Timetable")</f>
      </c>
      <c r="D3501" s="5"/>
      <c r="E3501" s="5">
        <f>=HYPERLINK("https://luminus.nus.edu.sg/modules/d187e539-441b-4b59-91e5-165a9bb1002d","LumiNUS course site")</f>
      </c>
      <c r="F3501" s="0" t="s">
        <v>1173</v>
      </c>
      <c r="G3501" s="0" t="s">
        <v>1174</v>
      </c>
      <c r="H3501" s="3">
        <v>4</v>
      </c>
    </row>
    <row r="3502">
      <c r="A3502" s="0" t="s">
        <v>6324</v>
      </c>
      <c r="B3502" s="0" t="s">
        <v>820</v>
      </c>
      <c r="C3502" s="5">
        <f>=HYPERLINK("https://nusmods.com/modules/TP5001#timetable","Timetable")</f>
      </c>
      <c r="D3502" s="5"/>
      <c r="E3502" s="5"/>
      <c r="F3502" s="0" t="s">
        <v>10</v>
      </c>
      <c r="G3502" s="0" t="s">
        <v>790</v>
      </c>
      <c r="H3502" s="3">
        <v>0</v>
      </c>
    </row>
    <row r="3503">
      <c r="A3503" s="0" t="s">
        <v>6325</v>
      </c>
      <c r="B3503" s="0" t="s">
        <v>562</v>
      </c>
      <c r="C3503" s="5">
        <f>=HYPERLINK("https://nusmods.com/modules/TR3002N#timetable","Timetable")</f>
      </c>
      <c r="D3503" s="5"/>
      <c r="E3503" s="5"/>
      <c r="F3503" s="0" t="s">
        <v>926</v>
      </c>
      <c r="G3503" s="0" t="s">
        <v>6326</v>
      </c>
      <c r="H3503" s="3">
        <v>37</v>
      </c>
    </row>
    <row r="3504">
      <c r="A3504" s="0" t="s">
        <v>6327</v>
      </c>
      <c r="B3504" s="0" t="s">
        <v>376</v>
      </c>
      <c r="C3504" s="5">
        <f>=HYPERLINK("https://nusmods.com/modules/TR3201N#timetable","Timetable")</f>
      </c>
      <c r="D3504" s="5"/>
      <c r="E3504" s="5"/>
      <c r="F3504" s="0" t="s">
        <v>926</v>
      </c>
      <c r="G3504" s="0" t="s">
        <v>6326</v>
      </c>
      <c r="H3504" s="3">
        <v>87</v>
      </c>
    </row>
    <row r="3505">
      <c r="A3505" s="0" t="s">
        <v>6328</v>
      </c>
      <c r="B3505" s="0" t="s">
        <v>6329</v>
      </c>
      <c r="C3505" s="5">
        <f>=HYPERLINK("https://nusmods.com/modules/TR3202I#timetable","Timetable")</f>
      </c>
      <c r="D3505" s="5"/>
      <c r="E3505" s="5">
        <f>=HYPERLINK("https://luminus.nus.edu.sg/modules/c93bedcd-467c-4db5-b04c-ed7a12502dde","LumiNUS course site")</f>
      </c>
      <c r="F3505" s="0" t="s">
        <v>926</v>
      </c>
      <c r="G3505" s="0" t="s">
        <v>6326</v>
      </c>
      <c r="H3505" s="3">
        <v>0</v>
      </c>
    </row>
    <row r="3506">
      <c r="A3506" s="0" t="s">
        <v>6330</v>
      </c>
      <c r="B3506" s="0" t="s">
        <v>6329</v>
      </c>
      <c r="C3506" s="5">
        <f>=HYPERLINK("https://nusmods.com/modules/TR3202N#timetable","Timetable")</f>
      </c>
      <c r="D3506" s="5"/>
      <c r="E3506" s="5"/>
      <c r="F3506" s="0" t="s">
        <v>926</v>
      </c>
      <c r="G3506" s="0" t="s">
        <v>6326</v>
      </c>
      <c r="H3506" s="3">
        <v>87</v>
      </c>
    </row>
    <row r="3507">
      <c r="A3507" s="0" t="s">
        <v>6331</v>
      </c>
      <c r="B3507" s="0" t="s">
        <v>6329</v>
      </c>
      <c r="C3507" s="5">
        <f>=HYPERLINK("https://nusmods.com/modules/TR3202S#timetable","Timetable")</f>
      </c>
      <c r="D3507" s="5"/>
      <c r="E3507" s="5"/>
      <c r="F3507" s="0" t="s">
        <v>926</v>
      </c>
      <c r="G3507" s="0" t="s">
        <v>6326</v>
      </c>
      <c r="H3507" s="3">
        <v>20</v>
      </c>
    </row>
    <row r="3508">
      <c r="A3508" s="0" t="s">
        <v>6332</v>
      </c>
      <c r="B3508" s="0" t="s">
        <v>6329</v>
      </c>
      <c r="C3508" s="5">
        <f>=HYPERLINK("https://nusmods.com/modules/TR3202T#timetable","Timetable")</f>
      </c>
      <c r="D3508" s="5"/>
      <c r="E3508" s="5">
        <f>=HYPERLINK("https://luminus.nus.edu.sg/modules/4b7edf84-a602-4107-82da-8eb9c6aa978d","LumiNUS course site")</f>
      </c>
      <c r="F3508" s="0" t="s">
        <v>926</v>
      </c>
      <c r="G3508" s="0" t="s">
        <v>6326</v>
      </c>
      <c r="H3508" s="3">
        <v>6</v>
      </c>
    </row>
    <row r="3509">
      <c r="A3509" s="0" t="s">
        <v>6333</v>
      </c>
      <c r="B3509" s="0" t="s">
        <v>6334</v>
      </c>
      <c r="C3509" s="5">
        <f>=HYPERLINK("https://nusmods.com/modules/TR3203E#timetable","Timetable")</f>
      </c>
      <c r="D3509" s="5"/>
      <c r="E3509" s="5"/>
      <c r="F3509" s="0" t="s">
        <v>926</v>
      </c>
      <c r="G3509" s="0" t="s">
        <v>6326</v>
      </c>
      <c r="H3509" s="3">
        <v>0</v>
      </c>
    </row>
    <row r="3510">
      <c r="A3510" s="0" t="s">
        <v>6335</v>
      </c>
      <c r="B3510" s="0" t="s">
        <v>6334</v>
      </c>
      <c r="C3510" s="5">
        <f>=HYPERLINK("https://nusmods.com/modules/TR3203I#timetable","Timetable")</f>
      </c>
      <c r="D3510" s="5"/>
      <c r="E3510" s="5">
        <f>=HYPERLINK("https://luminus.nus.edu.sg/modules/ccaf28f4-28bd-4e10-a2eb-159964d9e1ce","LumiNUS course site")</f>
      </c>
      <c r="F3510" s="0" t="s">
        <v>926</v>
      </c>
      <c r="G3510" s="0" t="s">
        <v>6326</v>
      </c>
      <c r="H3510" s="3">
        <v>7</v>
      </c>
    </row>
    <row r="3511">
      <c r="A3511" s="0" t="s">
        <v>6336</v>
      </c>
      <c r="B3511" s="0" t="s">
        <v>6334</v>
      </c>
      <c r="C3511" s="5">
        <f>=HYPERLINK("https://nusmods.com/modules/TR3203N#timetable","Timetable")</f>
      </c>
      <c r="D3511" s="5"/>
      <c r="E3511" s="5"/>
      <c r="F3511" s="0" t="s">
        <v>926</v>
      </c>
      <c r="G3511" s="0" t="s">
        <v>6326</v>
      </c>
      <c r="H3511" s="3">
        <v>63</v>
      </c>
    </row>
    <row r="3512">
      <c r="A3512" s="0" t="s">
        <v>6337</v>
      </c>
      <c r="B3512" s="0" t="s">
        <v>6334</v>
      </c>
      <c r="C3512" s="5">
        <f>=HYPERLINK("https://nusmods.com/modules/TR3203P#timetable","Timetable")</f>
      </c>
      <c r="D3512" s="5"/>
      <c r="E3512" s="5"/>
      <c r="F3512" s="0" t="s">
        <v>926</v>
      </c>
      <c r="G3512" s="0" t="s">
        <v>6326</v>
      </c>
      <c r="H3512" s="3">
        <v>24</v>
      </c>
    </row>
    <row r="3513">
      <c r="A3513" s="0" t="s">
        <v>6338</v>
      </c>
      <c r="B3513" s="0" t="s">
        <v>6334</v>
      </c>
      <c r="C3513" s="5">
        <f>=HYPERLINK("https://nusmods.com/modules/TR3203T#timetable","Timetable")</f>
      </c>
      <c r="D3513" s="5"/>
      <c r="E3513" s="5">
        <f>=HYPERLINK("https://luminus.nus.edu.sg/modules/27b50e41-c8ab-4190-80bd-01223adf1c5f","LumiNUS course site")</f>
      </c>
      <c r="F3513" s="0" t="s">
        <v>926</v>
      </c>
      <c r="G3513" s="0" t="s">
        <v>6326</v>
      </c>
      <c r="H3513" s="3">
        <v>6</v>
      </c>
    </row>
    <row r="3514">
      <c r="A3514" s="0" t="s">
        <v>6339</v>
      </c>
      <c r="B3514" s="0" t="s">
        <v>6340</v>
      </c>
      <c r="C3514" s="5">
        <f>=HYPERLINK("https://nusmods.com/modules/TR3204S#timetable","Timetable")</f>
      </c>
      <c r="D3514" s="5"/>
      <c r="E3514" s="5"/>
      <c r="F3514" s="0" t="s">
        <v>926</v>
      </c>
      <c r="G3514" s="0" t="s">
        <v>6326</v>
      </c>
      <c r="H3514" s="3">
        <v>20</v>
      </c>
    </row>
    <row r="3515">
      <c r="A3515" s="0" t="s">
        <v>6341</v>
      </c>
      <c r="B3515" s="0" t="s">
        <v>6340</v>
      </c>
      <c r="C3515" s="5">
        <f>=HYPERLINK("https://nusmods.com/modules/TR3204T#timetable","Timetable")</f>
      </c>
      <c r="D3515" s="5"/>
      <c r="E3515" s="5">
        <f>=HYPERLINK("https://luminus.nus.edu.sg/modules/5a9fcb24-00ba-49e7-affe-d72ee177af7d","LumiNUS course site")</f>
      </c>
      <c r="F3515" s="0" t="s">
        <v>926</v>
      </c>
      <c r="G3515" s="0" t="s">
        <v>6326</v>
      </c>
      <c r="H3515" s="3">
        <v>6</v>
      </c>
    </row>
    <row r="3516">
      <c r="A3516" s="0" t="s">
        <v>6342</v>
      </c>
      <c r="B3516" s="0" t="s">
        <v>6343</v>
      </c>
      <c r="C3516" s="5">
        <f>=HYPERLINK("https://nusmods.com/modules/TR4049N#timetable","Timetable")</f>
      </c>
      <c r="D3516" s="5"/>
      <c r="E3516" s="5"/>
      <c r="F3516" s="0" t="s">
        <v>926</v>
      </c>
      <c r="G3516" s="0" t="s">
        <v>6326</v>
      </c>
      <c r="H3516" s="3">
        <v>49</v>
      </c>
    </row>
    <row r="3517">
      <c r="A3517" s="0" t="s">
        <v>6344</v>
      </c>
      <c r="B3517" s="0" t="s">
        <v>6343</v>
      </c>
      <c r="C3517" s="5">
        <f>=HYPERLINK("https://nusmods.com/modules/TR4049T#timetable","Timetable")</f>
      </c>
      <c r="D3517" s="5"/>
      <c r="E3517" s="5"/>
      <c r="F3517" s="0" t="s">
        <v>926</v>
      </c>
      <c r="G3517" s="0" t="s">
        <v>6326</v>
      </c>
      <c r="H3517" s="3">
        <v>6</v>
      </c>
    </row>
    <row r="3518">
      <c r="A3518" s="0" t="s">
        <v>6345</v>
      </c>
      <c r="B3518" s="0" t="s">
        <v>6346</v>
      </c>
      <c r="C3518" s="5">
        <f>=HYPERLINK("https://nusmods.com/modules/TR5049#timetable","Timetable")</f>
      </c>
      <c r="D3518" s="5"/>
      <c r="E3518" s="5"/>
      <c r="F3518" s="0" t="s">
        <v>926</v>
      </c>
      <c r="G3518" s="0" t="s">
        <v>6326</v>
      </c>
      <c r="H3518" s="3">
        <v>0</v>
      </c>
    </row>
    <row r="3519">
      <c r="A3519" s="0" t="s">
        <v>6347</v>
      </c>
      <c r="B3519" s="0" t="s">
        <v>6348</v>
      </c>
      <c r="C3519" s="5">
        <f>=HYPERLINK("https://nusmods.com/modules/TR5101#timetable","Timetable")</f>
      </c>
      <c r="D3519" s="5"/>
      <c r="E3519" s="5">
        <f>=HYPERLINK("https://luminus.nus.edu.sg/modules/3e06cd8b-42f9-44be-a897-7b170e633fd3","LumiNUS course site")</f>
      </c>
      <c r="F3519" s="0" t="s">
        <v>926</v>
      </c>
      <c r="G3519" s="0" t="s">
        <v>6326</v>
      </c>
      <c r="H3519" s="3">
        <v>30</v>
      </c>
    </row>
    <row r="3520">
      <c r="A3520" s="0" t="s">
        <v>6349</v>
      </c>
      <c r="B3520" s="0" t="s">
        <v>6350</v>
      </c>
      <c r="C3520" s="5">
        <f>=HYPERLINK("https://nusmods.com/modules/TR5102#timetable","Timetable")</f>
      </c>
      <c r="D3520" s="5"/>
      <c r="E3520" s="5">
        <f>=HYPERLINK("https://luminus.nus.edu.sg/modules/14ebb7d0-0350-4822-8a88-b6a397b6fcde","LumiNUS course site")</f>
      </c>
      <c r="F3520" s="0" t="s">
        <v>926</v>
      </c>
      <c r="G3520" s="0" t="s">
        <v>6326</v>
      </c>
      <c r="H3520" s="3">
        <v>49</v>
      </c>
    </row>
    <row r="3521">
      <c r="A3521" s="0" t="s">
        <v>6351</v>
      </c>
      <c r="B3521" s="0" t="s">
        <v>6352</v>
      </c>
      <c r="C3521" s="5">
        <f>=HYPERLINK("https://nusmods.com/modules/TR5302#timetable","Timetable")</f>
      </c>
      <c r="D3521" s="5"/>
      <c r="E3521" s="5">
        <f>=HYPERLINK("https://luminus.nus.edu.sg/modules/44196174-d9cb-42f9-80e5-b9e5b5141d09","LumiNUS course site")</f>
      </c>
      <c r="F3521" s="0" t="s">
        <v>926</v>
      </c>
      <c r="G3521" s="0" t="s">
        <v>6326</v>
      </c>
      <c r="H3521" s="3">
        <v>111</v>
      </c>
    </row>
    <row r="3522">
      <c r="A3522" s="0" t="s">
        <v>6353</v>
      </c>
      <c r="B3522" s="0" t="s">
        <v>6354</v>
      </c>
      <c r="C3522" s="5">
        <f>=HYPERLINK("https://nusmods.com/modules/TRA2101#timetable","Timetable")</f>
      </c>
      <c r="D3522" s="5"/>
      <c r="E3522" s="5">
        <f>=HYPERLINK("https://luminus.nus.edu.sg/modules/42397e53-f0d7-46e9-a5c3-aad9c309ff6e","LumiNUS course site")</f>
      </c>
      <c r="F3522" s="0" t="s">
        <v>73</v>
      </c>
      <c r="G3522" s="0" t="s">
        <v>952</v>
      </c>
      <c r="H3522" s="3">
        <v>46</v>
      </c>
    </row>
    <row r="3523">
      <c r="A3523" s="0" t="s">
        <v>6355</v>
      </c>
      <c r="B3523" s="0" t="s">
        <v>6356</v>
      </c>
      <c r="C3523" s="5">
        <f>=HYPERLINK("https://nusmods.com/modules/TRA3204#timetable","Timetable")</f>
      </c>
      <c r="D3523" s="5"/>
      <c r="E3523" s="5">
        <f>=HYPERLINK("https://luminus.nus.edu.sg/modules/16c3ccd8-403a-4678-b372-6b8a9321307a","LumiNUS course site")</f>
      </c>
      <c r="F3523" s="0" t="s">
        <v>73</v>
      </c>
      <c r="G3523" s="0" t="s">
        <v>952</v>
      </c>
      <c r="H3523" s="3">
        <v>15</v>
      </c>
    </row>
    <row r="3524">
      <c r="A3524" s="0" t="s">
        <v>6357</v>
      </c>
      <c r="B3524" s="0" t="s">
        <v>6358</v>
      </c>
      <c r="C3524" s="5">
        <f>=HYPERLINK("https://nusmods.com/modules/TRA3206#timetable","Timetable")</f>
      </c>
      <c r="D3524" s="5"/>
      <c r="E3524" s="5">
        <f>=HYPERLINK("https://luminus.nus.edu.sg/modules/19c034ac-1695-48ed-adc3-557def637b14","LumiNUS course site")</f>
      </c>
      <c r="F3524" s="0" t="s">
        <v>73</v>
      </c>
      <c r="G3524" s="0" t="s">
        <v>952</v>
      </c>
      <c r="H3524" s="3">
        <v>9</v>
      </c>
    </row>
    <row r="3525">
      <c r="A3525" s="0" t="s">
        <v>6359</v>
      </c>
      <c r="B3525" s="0" t="s">
        <v>6360</v>
      </c>
      <c r="C3525" s="5">
        <f>=HYPERLINK("https://nusmods.com/modules/TS1101E#timetable","Timetable")</f>
      </c>
      <c r="D3525" s="5"/>
      <c r="E3525" s="5">
        <f>=HYPERLINK("https://luminus.nus.edu.sg/modules/e57df33b-dee9-43fc-8b30-1b7d6e0d9af4","LumiNUS course site")</f>
      </c>
      <c r="F3525" s="0" t="s">
        <v>73</v>
      </c>
      <c r="G3525" s="0" t="s">
        <v>2042</v>
      </c>
      <c r="H3525" s="3">
        <v>21</v>
      </c>
    </row>
    <row r="3526">
      <c r="A3526" s="0" t="s">
        <v>6361</v>
      </c>
      <c r="B3526" s="0" t="s">
        <v>6362</v>
      </c>
      <c r="C3526" s="5">
        <f>=HYPERLINK("https://nusmods.com/modules/TS2217#timetable","Timetable")</f>
      </c>
      <c r="D3526" s="5"/>
      <c r="E3526" s="5">
        <f>=HYPERLINK("https://luminus.nus.edu.sg/modules/2e416ee2-791d-4a53-b285-82456272c558","LumiNUS course site")</f>
      </c>
      <c r="F3526" s="0" t="s">
        <v>73</v>
      </c>
      <c r="G3526" s="0" t="s">
        <v>2042</v>
      </c>
      <c r="H3526" s="3">
        <v>7</v>
      </c>
    </row>
    <row r="3527">
      <c r="A3527" s="0" t="s">
        <v>6363</v>
      </c>
      <c r="B3527" s="0" t="s">
        <v>6364</v>
      </c>
      <c r="C3527" s="5">
        <f>=HYPERLINK("https://nusmods.com/modules/TS2233#timetable","Timetable")</f>
      </c>
      <c r="D3527" s="5"/>
      <c r="E3527" s="5">
        <f>=HYPERLINK("https://luminus.nus.edu.sg/modules/8d004bfe-3fad-42a3-9ff6-334b11e982e4","LumiNUS course site")</f>
      </c>
      <c r="F3527" s="0" t="s">
        <v>73</v>
      </c>
      <c r="G3527" s="0" t="s">
        <v>2042</v>
      </c>
      <c r="H3527" s="3">
        <v>9</v>
      </c>
    </row>
    <row r="3528">
      <c r="A3528" s="0" t="s">
        <v>6365</v>
      </c>
      <c r="B3528" s="0" t="s">
        <v>6366</v>
      </c>
      <c r="C3528" s="5">
        <f>=HYPERLINK("https://nusmods.com/modules/TS2240#timetable","Timetable")</f>
      </c>
      <c r="D3528" s="5"/>
      <c r="E3528" s="5">
        <f>=HYPERLINK("https://luminus.nus.edu.sg/modules/c010ccef-e445-4481-a6cd-2ed1818ae3cc","LumiNUS course site")</f>
      </c>
      <c r="F3528" s="0" t="s">
        <v>73</v>
      </c>
      <c r="G3528" s="0" t="s">
        <v>2042</v>
      </c>
      <c r="H3528" s="3">
        <v>11</v>
      </c>
    </row>
    <row r="3529">
      <c r="A3529" s="0" t="s">
        <v>6367</v>
      </c>
      <c r="B3529" s="0" t="s">
        <v>6368</v>
      </c>
      <c r="C3529" s="5">
        <f>=HYPERLINK("https://nusmods.com/modules/TS3222#timetable","Timetable")</f>
      </c>
      <c r="D3529" s="5"/>
      <c r="E3529" s="5">
        <f>=HYPERLINK("https://luminus.nus.edu.sg/modules/6bbbe1ec-373b-4042-b298-815b57c5017c","LumiNUS course site")</f>
      </c>
      <c r="F3529" s="0" t="s">
        <v>73</v>
      </c>
      <c r="G3529" s="0" t="s">
        <v>2042</v>
      </c>
      <c r="H3529" s="3">
        <v>10</v>
      </c>
    </row>
    <row r="3530">
      <c r="A3530" s="0" t="s">
        <v>6369</v>
      </c>
      <c r="B3530" s="0" t="s">
        <v>6370</v>
      </c>
      <c r="C3530" s="5">
        <f>=HYPERLINK("https://nusmods.com/modules/TS3243#timetable","Timetable")</f>
      </c>
      <c r="D3530" s="5"/>
      <c r="E3530" s="5">
        <f>=HYPERLINK("https://luminus.nus.edu.sg/modules/051ae11e-99e7-49b3-ae59-cfd50c1dd049","LumiNUS course site")</f>
      </c>
      <c r="F3530" s="0" t="s">
        <v>73</v>
      </c>
      <c r="G3530" s="0" t="s">
        <v>2042</v>
      </c>
      <c r="H3530" s="3">
        <v>12</v>
      </c>
    </row>
    <row r="3531">
      <c r="A3531" s="0" t="s">
        <v>6371</v>
      </c>
      <c r="B3531" s="0" t="s">
        <v>6372</v>
      </c>
      <c r="C3531" s="5">
        <f>=HYPERLINK("https://nusmods.com/modules/TS3246#timetable","Timetable")</f>
      </c>
      <c r="D3531" s="5">
        <f>=HYPERLINK("https://canvas.nus.edu.sg/courses/24415","Canvas course site")</f>
      </c>
      <c r="E3531" s="5"/>
      <c r="F3531" s="0" t="s">
        <v>73</v>
      </c>
      <c r="G3531" s="0" t="s">
        <v>2042</v>
      </c>
      <c r="H3531" s="3">
        <v>11</v>
      </c>
    </row>
    <row r="3532">
      <c r="A3532" s="0" t="s">
        <v>6373</v>
      </c>
      <c r="B3532" s="0" t="s">
        <v>1773</v>
      </c>
      <c r="C3532" s="5">
        <f>=HYPERLINK("https://nusmods.com/modules/TS3551#timetable","Timetable")</f>
      </c>
      <c r="D3532" s="5"/>
      <c r="E3532" s="5"/>
      <c r="F3532" s="0" t="s">
        <v>73</v>
      </c>
      <c r="G3532" s="0" t="s">
        <v>2042</v>
      </c>
      <c r="H3532" s="3">
        <v>0</v>
      </c>
    </row>
    <row r="3533">
      <c r="A3533" s="0" t="s">
        <v>6374</v>
      </c>
      <c r="B3533" s="0" t="s">
        <v>6375</v>
      </c>
      <c r="C3533" s="5">
        <f>=HYPERLINK("https://nusmods.com/modules/TS4212#timetable","Timetable")</f>
      </c>
      <c r="D3533" s="5"/>
      <c r="E3533" s="5">
        <f>=HYPERLINK("https://luminus.nus.edu.sg/modules/c8bd4bef-2a25-430e-83be-31439ebf3885","LumiNUS course site")</f>
      </c>
      <c r="F3533" s="0" t="s">
        <v>73</v>
      </c>
      <c r="G3533" s="0" t="s">
        <v>2042</v>
      </c>
      <c r="H3533" s="3">
        <v>10</v>
      </c>
    </row>
    <row r="3534">
      <c r="A3534" s="0" t="s">
        <v>6376</v>
      </c>
      <c r="B3534" s="0" t="s">
        <v>6377</v>
      </c>
      <c r="C3534" s="5">
        <f>=HYPERLINK("https://nusmods.com/modules/TS4218#timetable","Timetable")</f>
      </c>
      <c r="D3534" s="5"/>
      <c r="E3534" s="5">
        <f>=HYPERLINK("https://luminus.nus.edu.sg/modules/d92cf5a9-8cc7-4edc-8c6e-20b089016629","LumiNUS course site")</f>
      </c>
      <c r="F3534" s="0" t="s">
        <v>73</v>
      </c>
      <c r="G3534" s="0" t="s">
        <v>2042</v>
      </c>
      <c r="H3534" s="3">
        <v>6</v>
      </c>
    </row>
    <row r="3535">
      <c r="A3535" s="0" t="s">
        <v>6378</v>
      </c>
      <c r="B3535" s="0" t="s">
        <v>6379</v>
      </c>
      <c r="C3535" s="5">
        <f>=HYPERLINK("https://nusmods.com/modules/TS4219#timetable","Timetable")</f>
      </c>
      <c r="D3535" s="5"/>
      <c r="E3535" s="5">
        <f>=HYPERLINK("https://luminus.nus.edu.sg/modules/fcc2b78f-aad5-4082-bb89-7c5e3108866b","LumiNUS course site")</f>
      </c>
      <c r="F3535" s="0" t="s">
        <v>73</v>
      </c>
      <c r="G3535" s="0" t="s">
        <v>2042</v>
      </c>
      <c r="H3535" s="3">
        <v>7</v>
      </c>
    </row>
    <row r="3536">
      <c r="A3536" s="0" t="s">
        <v>6380</v>
      </c>
      <c r="B3536" s="0" t="s">
        <v>6381</v>
      </c>
      <c r="C3536" s="5">
        <f>=HYPERLINK("https://nusmods.com/modules/TS4220#timetable","Timetable")</f>
      </c>
      <c r="D3536" s="5">
        <f>=HYPERLINK("https://canvas.nus.edu.sg/courses/24434","Canvas course site")</f>
      </c>
      <c r="E3536" s="5"/>
      <c r="F3536" s="0" t="s">
        <v>73</v>
      </c>
      <c r="G3536" s="0" t="s">
        <v>2042</v>
      </c>
      <c r="H3536" s="3">
        <v>21</v>
      </c>
    </row>
    <row r="3537">
      <c r="A3537" s="0" t="s">
        <v>6382</v>
      </c>
      <c r="B3537" s="0" t="s">
        <v>6383</v>
      </c>
      <c r="C3537" s="5">
        <f>=HYPERLINK("https://nusmods.com/modules/TS4221#timetable","Timetable")</f>
      </c>
      <c r="D3537" s="5"/>
      <c r="E3537" s="5">
        <f>=HYPERLINK("https://luminus.nus.edu.sg/modules/c1c3a5cb-090c-40ae-986c-cac57f1347f3","LumiNUS course site")</f>
      </c>
      <c r="F3537" s="0" t="s">
        <v>73</v>
      </c>
      <c r="G3537" s="0" t="s">
        <v>2042</v>
      </c>
      <c r="H3537" s="3">
        <v>10</v>
      </c>
    </row>
    <row r="3538">
      <c r="A3538" s="0" t="s">
        <v>6384</v>
      </c>
      <c r="B3538" s="0" t="s">
        <v>980</v>
      </c>
      <c r="C3538" s="5">
        <f>=HYPERLINK("https://nusmods.com/modules/TS4401#timetable","Timetable")</f>
      </c>
      <c r="D3538" s="5"/>
      <c r="E3538" s="5"/>
      <c r="F3538" s="0" t="s">
        <v>73</v>
      </c>
      <c r="G3538" s="0" t="s">
        <v>2042</v>
      </c>
      <c r="H3538" s="3">
        <v>0</v>
      </c>
    </row>
    <row r="3539">
      <c r="A3539" s="0" t="s">
        <v>6385</v>
      </c>
      <c r="B3539" s="0" t="s">
        <v>602</v>
      </c>
      <c r="C3539" s="5">
        <f>=HYPERLINK("https://nusmods.com/modules/TS4660#timetable","Timetable")</f>
      </c>
      <c r="D3539" s="5"/>
      <c r="E3539" s="5"/>
      <c r="F3539" s="0" t="s">
        <v>73</v>
      </c>
      <c r="G3539" s="0" t="s">
        <v>2042</v>
      </c>
      <c r="H3539" s="3">
        <v>0</v>
      </c>
    </row>
    <row r="3540">
      <c r="A3540" s="0" t="s">
        <v>6386</v>
      </c>
      <c r="B3540" s="0" t="s">
        <v>6387</v>
      </c>
      <c r="C3540" s="5">
        <f>=HYPERLINK("https://nusmods.com/modules/TS5232#timetable","Timetable")</f>
      </c>
      <c r="D3540" s="5"/>
      <c r="E3540" s="5">
        <f>=HYPERLINK("https://luminus.nus.edu.sg/modules/ccd1da8a-6f1a-497a-87bc-99b5198adb4f","LumiNUS course site")</f>
      </c>
      <c r="F3540" s="0" t="s">
        <v>73</v>
      </c>
      <c r="G3540" s="0" t="s">
        <v>2042</v>
      </c>
      <c r="H3540" s="3">
        <v>7</v>
      </c>
    </row>
    <row r="3541">
      <c r="A3541" s="0" t="s">
        <v>6388</v>
      </c>
      <c r="B3541" s="0" t="s">
        <v>6387</v>
      </c>
      <c r="C3541" s="5">
        <f>=HYPERLINK("https://nusmods.com/modules/TS5232R#timetable","Timetable")</f>
      </c>
      <c r="D3541" s="5"/>
      <c r="E3541" s="5">
        <f>=HYPERLINK("https://luminus.nus.edu.sg/modules/ccd1da8a-6f1a-497a-87bc-99b5198adb4f","LumiNUS course site")</f>
      </c>
      <c r="F3541" s="0" t="s">
        <v>73</v>
      </c>
      <c r="G3541" s="0" t="s">
        <v>2042</v>
      </c>
      <c r="H3541" s="3">
        <v>0</v>
      </c>
    </row>
    <row r="3542">
      <c r="A3542" s="0" t="s">
        <v>6389</v>
      </c>
      <c r="B3542" s="0" t="s">
        <v>602</v>
      </c>
      <c r="C3542" s="5">
        <f>=HYPERLINK("https://nusmods.com/modules/TS5660#timetable","Timetable")</f>
      </c>
      <c r="D3542" s="5"/>
      <c r="E3542" s="5"/>
      <c r="F3542" s="0" t="s">
        <v>73</v>
      </c>
      <c r="G3542" s="0" t="s">
        <v>2042</v>
      </c>
      <c r="H3542" s="3">
        <v>1</v>
      </c>
    </row>
    <row r="3543">
      <c r="A3543" s="0" t="s">
        <v>6390</v>
      </c>
      <c r="B3543" s="0" t="s">
        <v>602</v>
      </c>
      <c r="C3543" s="5">
        <f>=HYPERLINK("https://nusmods.com/modules/TS6660#timetable","Timetable")</f>
      </c>
      <c r="D3543" s="5"/>
      <c r="E3543" s="5"/>
      <c r="F3543" s="0" t="s">
        <v>73</v>
      </c>
      <c r="G3543" s="0" t="s">
        <v>2042</v>
      </c>
      <c r="H3543" s="3">
        <v>1</v>
      </c>
    </row>
    <row r="3544">
      <c r="A3544" s="0" t="s">
        <v>6391</v>
      </c>
      <c r="B3544" s="0" t="s">
        <v>6392</v>
      </c>
      <c r="C3544" s="5">
        <f>=HYPERLINK("https://nusmods.com/modules/TSC3100#timetable","Timetable")</f>
      </c>
      <c r="D3544" s="5">
        <f>=HYPERLINK("https://canvas.nus.edu.sg/courses/24469","Canvas course site")</f>
      </c>
      <c r="E3544" s="5"/>
      <c r="F3544" s="0" t="s">
        <v>1173</v>
      </c>
      <c r="G3544" s="0" t="s">
        <v>1174</v>
      </c>
      <c r="H3544" s="3">
        <v>15</v>
      </c>
    </row>
    <row r="3545">
      <c r="A3545" s="0" t="s">
        <v>6393</v>
      </c>
      <c r="B3545" s="0" t="s">
        <v>6394</v>
      </c>
      <c r="C3545" s="5">
        <f>=HYPERLINK("https://nusmods.com/modules/TSC3223#timetable","Timetable")</f>
      </c>
      <c r="D3545" s="5"/>
      <c r="E3545" s="5">
        <f>=HYPERLINK("https://luminus.nus.edu.sg/modules/6db1f867-e17e-4a4d-93b8-c88e0ca7b661","LumiNUS course site")</f>
      </c>
      <c r="F3545" s="0" t="s">
        <v>1173</v>
      </c>
      <c r="G3545" s="0" t="s">
        <v>1174</v>
      </c>
      <c r="H3545" s="3">
        <v>26</v>
      </c>
    </row>
    <row r="3546">
      <c r="A3546" s="0" t="s">
        <v>6395</v>
      </c>
      <c r="B3546" s="0" t="s">
        <v>6396</v>
      </c>
      <c r="C3546" s="5">
        <f>=HYPERLINK("https://nusmods.com/modules/TSC3224#timetable","Timetable")</f>
      </c>
      <c r="D3546" s="5"/>
      <c r="E3546" s="5">
        <f>=HYPERLINK("https://luminus.nus.edu.sg/modules/39200df8-0f6a-4d15-8692-6447daaee54a","LumiNUS course site")</f>
      </c>
      <c r="F3546" s="0" t="s">
        <v>1173</v>
      </c>
      <c r="G3546" s="0" t="s">
        <v>1174</v>
      </c>
      <c r="H3546" s="3">
        <v>15</v>
      </c>
    </row>
    <row r="3547">
      <c r="A3547" s="0" t="s">
        <v>6397</v>
      </c>
      <c r="B3547" s="0" t="s">
        <v>6398</v>
      </c>
      <c r="C3547" s="5">
        <f>=HYPERLINK("https://nusmods.com/modules/TSC3226#timetable","Timetable")</f>
      </c>
      <c r="D3547" s="5">
        <f>=HYPERLINK("https://canvas.nus.edu.sg/courses/24480","Canvas course site")</f>
      </c>
      <c r="E3547" s="5">
        <f>=HYPERLINK("https://luminus.nus.edu.sg/modules/dd4ca6e4-f277-4ff2-9f36-3c703af846a4","LumiNUS course site")</f>
      </c>
      <c r="F3547" s="0" t="s">
        <v>1173</v>
      </c>
      <c r="G3547" s="0" t="s">
        <v>1174</v>
      </c>
      <c r="H3547" s="3">
        <v>13</v>
      </c>
    </row>
    <row r="3548">
      <c r="A3548" s="0" t="s">
        <v>6399</v>
      </c>
      <c r="B3548" s="0" t="s">
        <v>6400</v>
      </c>
      <c r="C3548" s="5">
        <f>=HYPERLINK("https://nusmods.com/modules/TSC4101#timetable","Timetable")</f>
      </c>
      <c r="D3548" s="5">
        <f>=HYPERLINK("https://canvas.nus.edu.sg/courses/24208","Canvas course site")</f>
      </c>
      <c r="E3548" s="5"/>
      <c r="F3548" s="0" t="s">
        <v>1173</v>
      </c>
      <c r="G3548" s="0" t="s">
        <v>1174</v>
      </c>
      <c r="H3548" s="3">
        <v>19</v>
      </c>
    </row>
    <row r="3549">
      <c r="A3549" s="0" t="s">
        <v>6401</v>
      </c>
      <c r="B3549" s="0" t="s">
        <v>6258</v>
      </c>
      <c r="C3549" s="5">
        <f>=HYPERLINK("https://nusmods.com/modules/TTG1401#timetable","Timetable")</f>
      </c>
      <c r="D3549" s="5"/>
      <c r="E3549" s="5">
        <f>=HYPERLINK("https://luminus.nus.edu.sg/modules/aac88002-47ae-456f-966e-af2a74682dcc","LumiNUS course site")</f>
      </c>
      <c r="F3549" s="0" t="s">
        <v>1173</v>
      </c>
      <c r="G3549" s="0" t="s">
        <v>1174</v>
      </c>
      <c r="H3549" s="3">
        <v>103</v>
      </c>
    </row>
    <row r="3550">
      <c r="A3550" s="0" t="s">
        <v>6402</v>
      </c>
      <c r="B3550" s="0" t="s">
        <v>6260</v>
      </c>
      <c r="C3550" s="5">
        <f>=HYPERLINK("https://nusmods.com/modules/TTG3001#timetable","Timetable")</f>
      </c>
      <c r="D3550" s="5"/>
      <c r="E3550" s="5"/>
      <c r="F3550" s="0" t="s">
        <v>1173</v>
      </c>
      <c r="G3550" s="0" t="s">
        <v>1174</v>
      </c>
      <c r="H3550" s="3">
        <v>64</v>
      </c>
    </row>
    <row r="3551">
      <c r="A3551" s="0" t="s">
        <v>6403</v>
      </c>
      <c r="B3551" s="0" t="s">
        <v>6260</v>
      </c>
      <c r="C3551" s="5">
        <f>=HYPERLINK("https://nusmods.com/modules/TTG3002#timetable","Timetable")</f>
      </c>
      <c r="D3551" s="5"/>
      <c r="E3551" s="5"/>
      <c r="F3551" s="0" t="s">
        <v>1173</v>
      </c>
      <c r="G3551" s="0" t="s">
        <v>1174</v>
      </c>
      <c r="H3551" s="3">
        <v>58</v>
      </c>
    </row>
    <row r="3552">
      <c r="A3552" s="0" t="s">
        <v>6404</v>
      </c>
      <c r="B3552" s="0" t="s">
        <v>6405</v>
      </c>
      <c r="C3552" s="5">
        <f>=HYPERLINK("https://nusmods.com/modules/UAR2207#timetable","Timetable")</f>
      </c>
      <c r="D3552" s="5"/>
      <c r="E3552" s="5">
        <f>=HYPERLINK("https://luminus.nus.edu.sg/modules/932ddb3d-8ffa-4c05-9257-7ff1861bf8d1","LumiNUS course site")</f>
      </c>
      <c r="F3552" s="0" t="s">
        <v>6406</v>
      </c>
      <c r="G3552" s="0" t="s">
        <v>6406</v>
      </c>
      <c r="H3552" s="3">
        <v>17</v>
      </c>
    </row>
    <row r="3553">
      <c r="A3553" s="0" t="s">
        <v>6407</v>
      </c>
      <c r="B3553" s="0" t="s">
        <v>6408</v>
      </c>
      <c r="C3553" s="5">
        <f>=HYPERLINK("https://nusmods.com/modules/UD5221#timetable","Timetable")</f>
      </c>
      <c r="D3553" s="5"/>
      <c r="E3553" s="5"/>
      <c r="F3553" s="0" t="s">
        <v>10</v>
      </c>
      <c r="G3553" s="0" t="s">
        <v>11</v>
      </c>
      <c r="H3553" s="3">
        <v>22</v>
      </c>
    </row>
    <row r="3554">
      <c r="A3554" s="0" t="s">
        <v>6409</v>
      </c>
      <c r="B3554" s="0" t="s">
        <v>6410</v>
      </c>
      <c r="C3554" s="5">
        <f>=HYPERLINK("https://nusmods.com/modules/UD5521#timetable","Timetable")</f>
      </c>
      <c r="D3554" s="5"/>
      <c r="E3554" s="5"/>
      <c r="F3554" s="0" t="s">
        <v>10</v>
      </c>
      <c r="G3554" s="0" t="s">
        <v>11</v>
      </c>
      <c r="H3554" s="3">
        <v>0</v>
      </c>
    </row>
    <row r="3555">
      <c r="A3555" s="0" t="s">
        <v>6411</v>
      </c>
      <c r="B3555" s="0" t="s">
        <v>6412</v>
      </c>
      <c r="C3555" s="5">
        <f>=HYPERLINK("https://nusmods.com/modules/UD5601#timetable","Timetable")</f>
      </c>
      <c r="D3555" s="5"/>
      <c r="E3555" s="5"/>
      <c r="F3555" s="0" t="s">
        <v>10</v>
      </c>
      <c r="G3555" s="0" t="s">
        <v>11</v>
      </c>
      <c r="H3555" s="3">
        <v>24</v>
      </c>
    </row>
    <row r="3556">
      <c r="A3556" s="0" t="s">
        <v>6413</v>
      </c>
      <c r="B3556" s="0" t="s">
        <v>6414</v>
      </c>
      <c r="C3556" s="5">
        <f>=HYPERLINK("https://nusmods.com/modules/UD5622#timetable","Timetable")</f>
      </c>
      <c r="D3556" s="5"/>
      <c r="E3556" s="5"/>
      <c r="F3556" s="0" t="s">
        <v>10</v>
      </c>
      <c r="G3556" s="0" t="s">
        <v>11</v>
      </c>
      <c r="H3556" s="3">
        <v>22</v>
      </c>
    </row>
    <row r="3557">
      <c r="A3557" s="0" t="s">
        <v>6415</v>
      </c>
      <c r="B3557" s="0" t="s">
        <v>6416</v>
      </c>
      <c r="C3557" s="5">
        <f>=HYPERLINK("https://nusmods.com/modules/UD5625#timetable","Timetable")</f>
      </c>
      <c r="D3557" s="5"/>
      <c r="E3557" s="5">
        <f>=HYPERLINK("https://luminus.nus.edu.sg/modules/52da1f82-c4c8-4e95-a059-b311995fd4e8","LumiNUS course site")</f>
      </c>
      <c r="F3557" s="0" t="s">
        <v>10</v>
      </c>
      <c r="G3557" s="0" t="s">
        <v>11</v>
      </c>
      <c r="H3557" s="3">
        <v>32</v>
      </c>
    </row>
    <row r="3558">
      <c r="A3558" s="0" t="s">
        <v>6417</v>
      </c>
      <c r="B3558" s="0" t="s">
        <v>1769</v>
      </c>
      <c r="C3558" s="5">
        <f>=HYPERLINK("https://nusmods.com/modules/UD5626#timetable","Timetable")</f>
      </c>
      <c r="D3558" s="5"/>
      <c r="E3558" s="5">
        <f>=HYPERLINK("https://luminus.nus.edu.sg/modules/bfa96200-606f-484d-97e4-cdaf70f44e61","LumiNUS course site")</f>
      </c>
      <c r="F3558" s="0" t="s">
        <v>10</v>
      </c>
      <c r="G3558" s="0" t="s">
        <v>11</v>
      </c>
      <c r="H3558" s="3">
        <v>26</v>
      </c>
    </row>
    <row r="3559">
      <c r="A3559" s="0" t="s">
        <v>6418</v>
      </c>
      <c r="B3559" s="0" t="s">
        <v>6419</v>
      </c>
      <c r="C3559" s="5">
        <f>=HYPERLINK("https://nusmods.com/modules/UHB2206#timetable","Timetable")</f>
      </c>
      <c r="D3559" s="5"/>
      <c r="E3559" s="5"/>
      <c r="F3559" s="0" t="s">
        <v>6406</v>
      </c>
      <c r="G3559" s="0" t="s">
        <v>6406</v>
      </c>
      <c r="H3559" s="3">
        <v>29</v>
      </c>
    </row>
    <row r="3560">
      <c r="A3560" s="0" t="s">
        <v>6420</v>
      </c>
      <c r="B3560" s="0" t="s">
        <v>6421</v>
      </c>
      <c r="C3560" s="5">
        <f>=HYPERLINK("https://nusmods.com/modules/UHB2207#timetable","Timetable")</f>
      </c>
      <c r="D3560" s="5">
        <f>=HYPERLINK("https://canvas.nus.edu.sg/courses/24548","Canvas course site")</f>
      </c>
      <c r="E3560" s="5"/>
      <c r="F3560" s="0" t="s">
        <v>6406</v>
      </c>
      <c r="G3560" s="0" t="s">
        <v>6406</v>
      </c>
      <c r="H3560" s="3">
        <v>28</v>
      </c>
    </row>
    <row r="3561">
      <c r="A3561" s="0" t="s">
        <v>6422</v>
      </c>
      <c r="B3561" s="0" t="s">
        <v>365</v>
      </c>
      <c r="C3561" s="5">
        <f>=HYPERLINK("https://nusmods.com/modules/UIS3901#timetable","Timetable")</f>
      </c>
      <c r="D3561" s="5"/>
      <c r="E3561" s="5"/>
      <c r="F3561" s="0" t="s">
        <v>6406</v>
      </c>
      <c r="G3561" s="0" t="s">
        <v>6406</v>
      </c>
      <c r="H3561" s="3">
        <v>0</v>
      </c>
    </row>
    <row r="3562">
      <c r="A3562" s="0" t="s">
        <v>6423</v>
      </c>
      <c r="B3562" s="0" t="s">
        <v>4862</v>
      </c>
      <c r="C3562" s="5">
        <f>=HYPERLINK("https://nusmods.com/modules/UIS3901S#timetable","Timetable")</f>
      </c>
      <c r="D3562" s="5"/>
      <c r="E3562" s="5"/>
      <c r="F3562" s="0" t="s">
        <v>6406</v>
      </c>
      <c r="G3562" s="0" t="s">
        <v>6406</v>
      </c>
      <c r="H3562" s="3">
        <v>0</v>
      </c>
    </row>
    <row r="3563">
      <c r="A3563" s="0" t="s">
        <v>6424</v>
      </c>
      <c r="B3563" s="0" t="s">
        <v>365</v>
      </c>
      <c r="C3563" s="5">
        <f>=HYPERLINK("https://nusmods.com/modules/UIS3902#timetable","Timetable")</f>
      </c>
      <c r="D3563" s="5"/>
      <c r="E3563" s="5"/>
      <c r="F3563" s="0" t="s">
        <v>6406</v>
      </c>
      <c r="G3563" s="0" t="s">
        <v>6406</v>
      </c>
      <c r="H3563" s="3">
        <v>0</v>
      </c>
    </row>
    <row r="3564">
      <c r="A3564" s="0" t="s">
        <v>6425</v>
      </c>
      <c r="B3564" s="0" t="s">
        <v>4862</v>
      </c>
      <c r="C3564" s="5">
        <f>=HYPERLINK("https://nusmods.com/modules/UIS3902S#timetable","Timetable")</f>
      </c>
      <c r="D3564" s="5"/>
      <c r="E3564" s="5"/>
      <c r="F3564" s="0" t="s">
        <v>6406</v>
      </c>
      <c r="G3564" s="0" t="s">
        <v>6406</v>
      </c>
      <c r="H3564" s="3">
        <v>0</v>
      </c>
    </row>
    <row r="3565">
      <c r="A3565" s="0" t="s">
        <v>6426</v>
      </c>
      <c r="B3565" s="0" t="s">
        <v>365</v>
      </c>
      <c r="C3565" s="5">
        <f>=HYPERLINK("https://nusmods.com/modules/UIS3931#timetable","Timetable")</f>
      </c>
      <c r="D3565" s="5"/>
      <c r="E3565" s="5"/>
      <c r="F3565" s="0" t="s">
        <v>10</v>
      </c>
      <c r="G3565" s="0" t="s">
        <v>263</v>
      </c>
      <c r="H3565" s="3">
        <v>0</v>
      </c>
    </row>
    <row r="3566">
      <c r="A3566" s="0" t="s">
        <v>6427</v>
      </c>
      <c r="B3566" s="0" t="s">
        <v>365</v>
      </c>
      <c r="C3566" s="5">
        <f>=HYPERLINK("https://nusmods.com/modules/UIS3932#timetable","Timetable")</f>
      </c>
      <c r="D3566" s="5"/>
      <c r="E3566" s="5"/>
      <c r="F3566" s="0" t="s">
        <v>10</v>
      </c>
      <c r="G3566" s="0" t="s">
        <v>263</v>
      </c>
      <c r="H3566" s="3">
        <v>0</v>
      </c>
    </row>
    <row r="3567">
      <c r="A3567" s="0" t="s">
        <v>6428</v>
      </c>
      <c r="B3567" s="0" t="s">
        <v>365</v>
      </c>
      <c r="C3567" s="5">
        <f>=HYPERLINK("https://nusmods.com/modules/UIS4932#timetable","Timetable")</f>
      </c>
      <c r="D3567" s="5"/>
      <c r="E3567" s="5"/>
      <c r="F3567" s="0" t="s">
        <v>10</v>
      </c>
      <c r="G3567" s="0" t="s">
        <v>263</v>
      </c>
      <c r="H3567" s="3">
        <v>0</v>
      </c>
    </row>
    <row r="3568">
      <c r="A3568" s="0" t="s">
        <v>6429</v>
      </c>
      <c r="B3568" s="0" t="s">
        <v>6430</v>
      </c>
      <c r="C3568" s="5">
        <f>=HYPERLINK("https://nusmods.com/modules/UIT2201#timetable","Timetable")</f>
      </c>
      <c r="D3568" s="5">
        <f>=HYPERLINK("https://canvas.nus.edu.sg/courses/24590","Canvas course site")</f>
      </c>
      <c r="E3568" s="5"/>
      <c r="F3568" s="0" t="s">
        <v>6406</v>
      </c>
      <c r="G3568" s="0" t="s">
        <v>6406</v>
      </c>
      <c r="H3568" s="3">
        <v>24</v>
      </c>
    </row>
    <row r="3569">
      <c r="A3569" s="0" t="s">
        <v>6431</v>
      </c>
      <c r="B3569" s="0" t="s">
        <v>6432</v>
      </c>
      <c r="C3569" s="5">
        <f>=HYPERLINK("https://nusmods.com/modules/ULS2201#timetable","Timetable")</f>
      </c>
      <c r="D3569" s="5"/>
      <c r="E3569" s="5">
        <f>=HYPERLINK("https://luminus.nus.edu.sg/modules/a05b1e44-c50f-49e8-92ef-babb4588967c","LumiNUS course site")</f>
      </c>
      <c r="F3569" s="0" t="s">
        <v>6406</v>
      </c>
      <c r="G3569" s="0" t="s">
        <v>6406</v>
      </c>
      <c r="H3569" s="3">
        <v>30</v>
      </c>
    </row>
    <row r="3570">
      <c r="A3570" s="0" t="s">
        <v>6433</v>
      </c>
      <c r="B3570" s="0" t="s">
        <v>6434</v>
      </c>
      <c r="C3570" s="5">
        <f>=HYPERLINK("https://nusmods.com/modules/ULS2210#timetable","Timetable")</f>
      </c>
      <c r="D3570" s="5"/>
      <c r="E3570" s="5">
        <f>=HYPERLINK("https://luminus.nus.edu.sg/modules/577c98b7-71a6-4894-a602-813747c65523","LumiNUS course site")</f>
      </c>
      <c r="F3570" s="0" t="s">
        <v>6406</v>
      </c>
      <c r="G3570" s="0" t="s">
        <v>6406</v>
      </c>
      <c r="H3570" s="3">
        <v>30</v>
      </c>
    </row>
    <row r="3571">
      <c r="A3571" s="0" t="s">
        <v>6435</v>
      </c>
      <c r="B3571" s="0" t="s">
        <v>6436</v>
      </c>
      <c r="C3571" s="5">
        <f>=HYPERLINK("https://nusmods.com/modules/UNL2201#timetable","Timetable")</f>
      </c>
      <c r="D3571" s="5"/>
      <c r="E3571" s="5">
        <f>=HYPERLINK("https://luminus.nus.edu.sg/modules/f6f777e3-b14f-4162-9f12-ff229db3351a","LumiNUS course site")</f>
      </c>
      <c r="F3571" s="0" t="s">
        <v>6406</v>
      </c>
      <c r="G3571" s="0" t="s">
        <v>6406</v>
      </c>
      <c r="H3571" s="3">
        <v>10</v>
      </c>
    </row>
    <row r="3572">
      <c r="A3572" s="0" t="s">
        <v>6437</v>
      </c>
      <c r="B3572" s="0" t="s">
        <v>6438</v>
      </c>
      <c r="C3572" s="5">
        <f>=HYPERLINK("https://nusmods.com/modules/UNL2210#timetable","Timetable")</f>
      </c>
      <c r="D3572" s="5"/>
      <c r="E3572" s="5">
        <f>=HYPERLINK("https://luminus.nus.edu.sg/modules/fed34e7b-5c2d-4986-bd10-f56e90382716","LumiNUS course site")</f>
      </c>
      <c r="F3572" s="0" t="s">
        <v>6406</v>
      </c>
      <c r="G3572" s="0" t="s">
        <v>6406</v>
      </c>
      <c r="H3572" s="3">
        <v>20</v>
      </c>
    </row>
    <row r="3573">
      <c r="A3573" s="0" t="s">
        <v>6439</v>
      </c>
      <c r="B3573" s="0" t="s">
        <v>6440</v>
      </c>
      <c r="C3573" s="5">
        <f>=HYPERLINK("https://nusmods.com/modules/UPC2209#timetable","Timetable")</f>
      </c>
      <c r="D3573" s="5"/>
      <c r="E3573" s="5">
        <f>=HYPERLINK("https://luminus.nus.edu.sg/modules/a11f3090-7780-4bcd-ab31-cf3339b36ff3","LumiNUS course site")</f>
      </c>
      <c r="F3573" s="0" t="s">
        <v>6406</v>
      </c>
      <c r="G3573" s="0" t="s">
        <v>6406</v>
      </c>
      <c r="H3573" s="3">
        <v>53</v>
      </c>
    </row>
    <row r="3574">
      <c r="A3574" s="0" t="s">
        <v>6441</v>
      </c>
      <c r="B3574" s="0" t="s">
        <v>6442</v>
      </c>
      <c r="C3574" s="5">
        <f>=HYPERLINK("https://nusmods.com/modules/UPC2212#timetable","Timetable")</f>
      </c>
      <c r="D3574" s="5">
        <f>=HYPERLINK("https://canvas.nus.edu.sg/courses/26181","Canvas course site")</f>
      </c>
      <c r="E3574" s="5"/>
      <c r="F3574" s="0" t="s">
        <v>6406</v>
      </c>
      <c r="G3574" s="0" t="s">
        <v>6406</v>
      </c>
      <c r="H3574" s="3">
        <v>22</v>
      </c>
    </row>
    <row r="3575">
      <c r="A3575" s="0" t="s">
        <v>6443</v>
      </c>
      <c r="B3575" s="0" t="s">
        <v>6444</v>
      </c>
      <c r="C3575" s="5">
        <f>=HYPERLINK("https://nusmods.com/modules/UPI2212#timetable","Timetable")</f>
      </c>
      <c r="D3575" s="5">
        <f>=HYPERLINK("https://canvas.nus.edu.sg/courses/24622","Canvas course site")</f>
      </c>
      <c r="E3575" s="5"/>
      <c r="F3575" s="0" t="s">
        <v>6406</v>
      </c>
      <c r="G3575" s="0" t="s">
        <v>6406</v>
      </c>
      <c r="H3575" s="3">
        <v>24</v>
      </c>
    </row>
    <row r="3576">
      <c r="A3576" s="0" t="s">
        <v>6445</v>
      </c>
      <c r="B3576" s="0" t="s">
        <v>6446</v>
      </c>
      <c r="C3576" s="5">
        <f>=HYPERLINK("https://nusmods.com/modules/UQF2101J#timetable","Timetable")</f>
      </c>
      <c r="D3576" s="5"/>
      <c r="E3576" s="5">
        <f>=HYPERLINK("https://luminus.nus.edu.sg/modules/1639fb8a-5ab2-44ec-990b-3b9cae590760","LumiNUS course site")</f>
      </c>
      <c r="F3576" s="0" t="s">
        <v>6406</v>
      </c>
      <c r="G3576" s="0" t="s">
        <v>6406</v>
      </c>
      <c r="H3576" s="3">
        <v>21</v>
      </c>
    </row>
    <row r="3577">
      <c r="A3577" s="0" t="s">
        <v>6447</v>
      </c>
      <c r="B3577" s="0" t="s">
        <v>6448</v>
      </c>
      <c r="C3577" s="5">
        <f>=HYPERLINK("https://nusmods.com/modules/UQR2215#timetable","Timetable")</f>
      </c>
      <c r="D3577" s="5"/>
      <c r="E3577" s="5">
        <f>=HYPERLINK("https://luminus.nus.edu.sg/modules/75fc6b3e-61b4-4f26-888c-e7250d979db2","LumiNUS course site")</f>
      </c>
      <c r="F3577" s="0" t="s">
        <v>6406</v>
      </c>
      <c r="G3577" s="0" t="s">
        <v>6406</v>
      </c>
      <c r="H3577" s="3">
        <v>26</v>
      </c>
    </row>
    <row r="3578">
      <c r="A3578" s="0" t="s">
        <v>6449</v>
      </c>
      <c r="B3578" s="0" t="s">
        <v>6450</v>
      </c>
      <c r="C3578" s="5">
        <f>=HYPERLINK("https://nusmods.com/modules/USE2304#timetable","Timetable")</f>
      </c>
      <c r="D3578" s="5"/>
      <c r="E3578" s="5">
        <f>=HYPERLINK("https://luminus.nus.edu.sg/modules/78c77fad-391c-4de8-bcdd-7cce01c774e0","LumiNUS course site")</f>
      </c>
      <c r="F3578" s="0" t="s">
        <v>6406</v>
      </c>
      <c r="G3578" s="0" t="s">
        <v>6406</v>
      </c>
      <c r="H3578" s="3">
        <v>28</v>
      </c>
    </row>
    <row r="3579">
      <c r="A3579" s="0" t="s">
        <v>6451</v>
      </c>
      <c r="B3579" s="0" t="s">
        <v>6452</v>
      </c>
      <c r="C3579" s="5">
        <f>=HYPERLINK("https://nusmods.com/modules/USE2324#timetable","Timetable")</f>
      </c>
      <c r="D3579" s="5"/>
      <c r="E3579" s="5">
        <f>=HYPERLINK("https://luminus.nus.edu.sg/modules/b790851b-434c-467c-96e3-07d30cd9e2fc","LumiNUS course site")</f>
      </c>
      <c r="F3579" s="0" t="s">
        <v>6406</v>
      </c>
      <c r="G3579" s="0" t="s">
        <v>6406</v>
      </c>
      <c r="H3579" s="3">
        <v>23</v>
      </c>
    </row>
    <row r="3580">
      <c r="A3580" s="0" t="s">
        <v>6453</v>
      </c>
      <c r="B3580" s="0" t="s">
        <v>6454</v>
      </c>
      <c r="C3580" s="5">
        <f>=HYPERLINK("https://nusmods.com/modules/USE2325#timetable","Timetable")</f>
      </c>
      <c r="D3580" s="5">
        <f>=HYPERLINK("https://canvas.nus.edu.sg/courses/22394","Canvas course site")</f>
      </c>
      <c r="E3580" s="5"/>
      <c r="F3580" s="0" t="s">
        <v>6406</v>
      </c>
      <c r="G3580" s="0" t="s">
        <v>6406</v>
      </c>
      <c r="H3580" s="3">
        <v>27</v>
      </c>
    </row>
    <row r="3581">
      <c r="A3581" s="0" t="s">
        <v>6455</v>
      </c>
      <c r="B3581" s="0" t="s">
        <v>6456</v>
      </c>
      <c r="C3581" s="5">
        <f>=HYPERLINK("https://nusmods.com/modules/USR4002A#timetable","Timetable")</f>
      </c>
      <c r="D3581" s="5"/>
      <c r="E3581" s="5">
        <f>=HYPERLINK("https://luminus.nus.edu.sg/modules/5238ec9e-8ced-44a5-8e91-86df5afb8bab","LumiNUS course site")</f>
      </c>
      <c r="F3581" s="0" t="s">
        <v>6406</v>
      </c>
      <c r="G3581" s="0" t="s">
        <v>6406</v>
      </c>
      <c r="H3581" s="3">
        <v>17</v>
      </c>
    </row>
    <row r="3582">
      <c r="A3582" s="0" t="s">
        <v>6457</v>
      </c>
      <c r="B3582" s="0" t="s">
        <v>6456</v>
      </c>
      <c r="C3582" s="5">
        <f>=HYPERLINK("https://nusmods.com/modules/USR4002B#timetable","Timetable")</f>
      </c>
      <c r="D3582" s="5"/>
      <c r="E3582" s="5">
        <f>=HYPERLINK("https://luminus.nus.edu.sg/modules/5238ec9e-8ced-44a5-8e91-86df5afb8bab","LumiNUS course site")</f>
      </c>
      <c r="F3582" s="0" t="s">
        <v>6406</v>
      </c>
      <c r="G3582" s="0" t="s">
        <v>6406</v>
      </c>
      <c r="H3582" s="3">
        <v>12</v>
      </c>
    </row>
    <row r="3583">
      <c r="A3583" s="0" t="s">
        <v>6458</v>
      </c>
      <c r="B3583" s="0" t="s">
        <v>6456</v>
      </c>
      <c r="C3583" s="5">
        <f>=HYPERLINK("https://nusmods.com/modules/USR4002C#timetable","Timetable")</f>
      </c>
      <c r="D3583" s="5">
        <f>=HYPERLINK("https://canvas.nus.edu.sg/courses/35347","Canvas course site")</f>
      </c>
      <c r="E3583" s="5"/>
      <c r="F3583" s="0" t="s">
        <v>6406</v>
      </c>
      <c r="G3583" s="0" t="s">
        <v>6406</v>
      </c>
      <c r="H3583" s="3">
        <v>8</v>
      </c>
    </row>
    <row r="3584">
      <c r="A3584" s="0" t="s">
        <v>6459</v>
      </c>
      <c r="B3584" s="0" t="s">
        <v>6456</v>
      </c>
      <c r="C3584" s="5">
        <f>=HYPERLINK("https://nusmods.com/modules/USR4002D#timetable","Timetable")</f>
      </c>
      <c r="D3584" s="5"/>
      <c r="E3584" s="5">
        <f>=HYPERLINK("https://luminus.nus.edu.sg/modules/51a2a137-381e-48f2-ade2-843ee4e6b63f","LumiNUS course site")</f>
      </c>
      <c r="F3584" s="0" t="s">
        <v>6406</v>
      </c>
      <c r="G3584" s="0" t="s">
        <v>6406</v>
      </c>
      <c r="H3584" s="3">
        <v>21</v>
      </c>
    </row>
    <row r="3585">
      <c r="A3585" s="0" t="s">
        <v>6460</v>
      </c>
      <c r="B3585" s="0" t="s">
        <v>6461</v>
      </c>
      <c r="C3585" s="5">
        <f>=HYPERLINK("https://nusmods.com/modules/UTC1102B#timetable","Timetable")</f>
      </c>
      <c r="D3585" s="5"/>
      <c r="E3585" s="5">
        <f>=HYPERLINK("https://luminus.nus.edu.sg/modules/e08d2ba7-e644-4b16-bcb0-6d5bb550ea31","LumiNUS course site")</f>
      </c>
      <c r="F3585" s="0" t="s">
        <v>1532</v>
      </c>
      <c r="G3585" s="0" t="s">
        <v>6462</v>
      </c>
      <c r="H3585" s="3">
        <v>31</v>
      </c>
    </row>
    <row r="3586">
      <c r="A3586" s="0" t="s">
        <v>6463</v>
      </c>
      <c r="B3586" s="0" t="s">
        <v>6464</v>
      </c>
      <c r="C3586" s="5">
        <f>=HYPERLINK("https://nusmods.com/modules/UTC1102C#timetable","Timetable")</f>
      </c>
      <c r="D3586" s="5">
        <f>=HYPERLINK("https://canvas.nus.edu.sg/courses/24665","Canvas course site")</f>
      </c>
      <c r="E3586" s="5"/>
      <c r="F3586" s="0" t="s">
        <v>1532</v>
      </c>
      <c r="G3586" s="0" t="s">
        <v>6462</v>
      </c>
      <c r="H3586" s="3">
        <v>48</v>
      </c>
    </row>
    <row r="3587">
      <c r="A3587" s="0" t="s">
        <v>6465</v>
      </c>
      <c r="B3587" s="0" t="s">
        <v>6466</v>
      </c>
      <c r="C3587" s="5">
        <f>=HYPERLINK("https://nusmods.com/modules/UTC1102P#timetable","Timetable")</f>
      </c>
      <c r="D3587" s="5"/>
      <c r="E3587" s="5">
        <f>=HYPERLINK("https://luminus.nus.edu.sg/modules/53ee89eb-a2a3-4084-8559-7321945ec88f","LumiNUS course site")</f>
      </c>
      <c r="F3587" s="0" t="s">
        <v>1532</v>
      </c>
      <c r="G3587" s="0" t="s">
        <v>6462</v>
      </c>
      <c r="H3587" s="3">
        <v>31</v>
      </c>
    </row>
    <row r="3588">
      <c r="A3588" s="0" t="s">
        <v>6467</v>
      </c>
      <c r="B3588" s="0" t="s">
        <v>6468</v>
      </c>
      <c r="C3588" s="5">
        <f>=HYPERLINK("https://nusmods.com/modules/UTC1112A#timetable","Timetable")</f>
      </c>
      <c r="D3588" s="5">
        <f>=HYPERLINK("https://canvas.nus.edu.sg/courses/24670","Canvas course site")</f>
      </c>
      <c r="E3588" s="5"/>
      <c r="F3588" s="0" t="s">
        <v>1532</v>
      </c>
      <c r="G3588" s="0" t="s">
        <v>6462</v>
      </c>
      <c r="H3588" s="3">
        <v>16</v>
      </c>
    </row>
    <row r="3589">
      <c r="A3589" s="0" t="s">
        <v>6469</v>
      </c>
      <c r="B3589" s="0" t="s">
        <v>6470</v>
      </c>
      <c r="C3589" s="5">
        <f>=HYPERLINK("https://nusmods.com/modules/UTC1112G#timetable","Timetable")</f>
      </c>
      <c r="D3589" s="5">
        <f>=HYPERLINK("https://canvas.nus.edu.sg/courses/27150","Canvas course site")</f>
      </c>
      <c r="E3589" s="5"/>
      <c r="F3589" s="0" t="s">
        <v>1532</v>
      </c>
      <c r="G3589" s="0" t="s">
        <v>6462</v>
      </c>
      <c r="H3589" s="3">
        <v>14</v>
      </c>
    </row>
    <row r="3590">
      <c r="A3590" s="0" t="s">
        <v>6471</v>
      </c>
      <c r="B3590" s="0" t="s">
        <v>6472</v>
      </c>
      <c r="C3590" s="5">
        <f>=HYPERLINK("https://nusmods.com/modules/UTC1402#timetable","Timetable")</f>
      </c>
      <c r="D3590" s="5">
        <f>=HYPERLINK("https://canvas.nus.edu.sg/courses/24686","Canvas course site")</f>
      </c>
      <c r="E3590" s="5"/>
      <c r="F3590" s="0" t="s">
        <v>1532</v>
      </c>
      <c r="G3590" s="0" t="s">
        <v>6473</v>
      </c>
      <c r="H3590" s="3">
        <v>31</v>
      </c>
    </row>
    <row r="3591">
      <c r="A3591" s="0" t="s">
        <v>6474</v>
      </c>
      <c r="B3591" s="0" t="s">
        <v>6475</v>
      </c>
      <c r="C3591" s="5">
        <f>=HYPERLINK("https://nusmods.com/modules/UTC1403#timetable","Timetable")</f>
      </c>
      <c r="D3591" s="5">
        <f>=HYPERLINK("https://canvas.nus.edu.sg/courses/24693","Canvas course site")</f>
      </c>
      <c r="E3591" s="5">
        <f>=HYPERLINK("https://luminus.nus.edu.sg/modules/d2783107-90b2-41df-8291-980aa127bab2","LumiNUS course site")</f>
      </c>
      <c r="F3591" s="0" t="s">
        <v>1532</v>
      </c>
      <c r="G3591" s="0" t="s">
        <v>6473</v>
      </c>
      <c r="H3591" s="3">
        <v>18</v>
      </c>
    </row>
    <row r="3592">
      <c r="A3592" s="0" t="s">
        <v>6476</v>
      </c>
      <c r="B3592" s="0" t="s">
        <v>6477</v>
      </c>
      <c r="C3592" s="5">
        <f>=HYPERLINK("https://nusmods.com/modules/UTC1404#timetable","Timetable")</f>
      </c>
      <c r="D3592" s="5">
        <f>=HYPERLINK("https://canvas.nus.edu.sg/courses/24698","Canvas course site")</f>
      </c>
      <c r="E3592" s="5"/>
      <c r="F3592" s="0" t="s">
        <v>1532</v>
      </c>
      <c r="G3592" s="0" t="s">
        <v>6473</v>
      </c>
      <c r="H3592" s="3">
        <v>34</v>
      </c>
    </row>
    <row r="3593">
      <c r="A3593" s="0" t="s">
        <v>6478</v>
      </c>
      <c r="B3593" s="0" t="s">
        <v>6479</v>
      </c>
      <c r="C3593" s="5">
        <f>=HYPERLINK("https://nusmods.com/modules/UTC1416#timetable","Timetable")</f>
      </c>
      <c r="D3593" s="5"/>
      <c r="E3593" s="5">
        <f>=HYPERLINK("https://luminus.nus.edu.sg/modules/242e08c7-8595-4324-83bd-126085b73039","LumiNUS course site")</f>
      </c>
      <c r="F3593" s="0" t="s">
        <v>1532</v>
      </c>
      <c r="G3593" s="0" t="s">
        <v>6473</v>
      </c>
      <c r="H3593" s="3">
        <v>18</v>
      </c>
    </row>
    <row r="3594">
      <c r="A3594" s="0" t="s">
        <v>6480</v>
      </c>
      <c r="B3594" s="0" t="s">
        <v>6481</v>
      </c>
      <c r="C3594" s="5">
        <f>=HYPERLINK("https://nusmods.com/modules/UTC1420#timetable","Timetable")</f>
      </c>
      <c r="D3594" s="5"/>
      <c r="E3594" s="5">
        <f>=HYPERLINK("https://luminus.nus.edu.sg/modules/c231188b-99fe-422f-aece-50273d53e93c","LumiNUS course site")</f>
      </c>
      <c r="F3594" s="0" t="s">
        <v>1532</v>
      </c>
      <c r="G3594" s="0" t="s">
        <v>6473</v>
      </c>
      <c r="H3594" s="3">
        <v>24</v>
      </c>
    </row>
    <row r="3595">
      <c r="A3595" s="0" t="s">
        <v>6482</v>
      </c>
      <c r="B3595" s="0" t="s">
        <v>6483</v>
      </c>
      <c r="C3595" s="5">
        <f>=HYPERLINK("https://nusmods.com/modules/UTC1702B#timetable","Timetable")</f>
      </c>
      <c r="D3595" s="5">
        <f>=HYPERLINK("https://canvas.nus.edu.sg/courses/24716","Canvas course site")</f>
      </c>
      <c r="E3595" s="5"/>
      <c r="F3595" s="0" t="s">
        <v>1532</v>
      </c>
      <c r="G3595" s="0" t="s">
        <v>6484</v>
      </c>
      <c r="H3595" s="3">
        <v>34</v>
      </c>
    </row>
    <row r="3596">
      <c r="A3596" s="0" t="s">
        <v>6485</v>
      </c>
      <c r="B3596" s="0" t="s">
        <v>6486</v>
      </c>
      <c r="C3596" s="5">
        <f>=HYPERLINK("https://nusmods.com/modules/UTC1702D#timetable","Timetable")</f>
      </c>
      <c r="D3596" s="5">
        <f>=HYPERLINK("https://canvas.nus.edu.sg/courses/24721","Canvas course site")</f>
      </c>
      <c r="E3596" s="5"/>
      <c r="F3596" s="0" t="s">
        <v>1532</v>
      </c>
      <c r="G3596" s="0" t="s">
        <v>6484</v>
      </c>
      <c r="H3596" s="3">
        <v>42</v>
      </c>
    </row>
    <row r="3597">
      <c r="A3597" s="0" t="s">
        <v>6487</v>
      </c>
      <c r="B3597" s="0" t="s">
        <v>6488</v>
      </c>
      <c r="C3597" s="5">
        <f>=HYPERLINK("https://nusmods.com/modules/UTC1702E#timetable","Timetable")</f>
      </c>
      <c r="D3597" s="5"/>
      <c r="E3597" s="5">
        <f>=HYPERLINK("https://luminus.nus.edu.sg/modules/46797138-b0e7-43ef-9064-6186275accb0","LumiNUS course site")</f>
      </c>
      <c r="F3597" s="0" t="s">
        <v>1532</v>
      </c>
      <c r="G3597" s="0" t="s">
        <v>6484</v>
      </c>
      <c r="H3597" s="3">
        <v>23</v>
      </c>
    </row>
    <row r="3598">
      <c r="A3598" s="0" t="s">
        <v>6489</v>
      </c>
      <c r="B3598" s="0" t="s">
        <v>6490</v>
      </c>
      <c r="C3598" s="5">
        <f>=HYPERLINK("https://nusmods.com/modules/UTC1702F#timetable","Timetable")</f>
      </c>
      <c r="D3598" s="5">
        <f>=HYPERLINK("https://canvas.nus.edu.sg/courses/24729","Canvas course site")</f>
      </c>
      <c r="E3598" s="5"/>
      <c r="F3598" s="0" t="s">
        <v>1532</v>
      </c>
      <c r="G3598" s="0" t="s">
        <v>6484</v>
      </c>
      <c r="H3598" s="3">
        <v>31</v>
      </c>
    </row>
    <row r="3599">
      <c r="A3599" s="0" t="s">
        <v>6491</v>
      </c>
      <c r="B3599" s="0" t="s">
        <v>6492</v>
      </c>
      <c r="C3599" s="5">
        <f>=HYPERLINK("https://nusmods.com/modules/UTC1702G#timetable","Timetable")</f>
      </c>
      <c r="D3599" s="5">
        <f>=HYPERLINK("https://canvas.nus.edu.sg/courses/26522","Canvas course site")</f>
      </c>
      <c r="E3599" s="5"/>
      <c r="F3599" s="0" t="s">
        <v>1532</v>
      </c>
      <c r="G3599" s="0" t="s">
        <v>6484</v>
      </c>
      <c r="H3599" s="3">
        <v>32</v>
      </c>
    </row>
    <row r="3600">
      <c r="A3600" s="0" t="s">
        <v>6493</v>
      </c>
      <c r="B3600" s="0" t="s">
        <v>6494</v>
      </c>
      <c r="C3600" s="5">
        <f>=HYPERLINK("https://nusmods.com/modules/UTC2107#timetable","Timetable")</f>
      </c>
      <c r="D3600" s="5"/>
      <c r="E3600" s="5">
        <f>=HYPERLINK("https://luminus.nus.edu.sg/modules/a85826c0-1932-461e-8b47-782283f5f4f3","LumiNUS course site")</f>
      </c>
      <c r="F3600" s="0" t="s">
        <v>1532</v>
      </c>
      <c r="G3600" s="0" t="s">
        <v>6462</v>
      </c>
      <c r="H3600" s="3">
        <v>43</v>
      </c>
    </row>
    <row r="3601">
      <c r="A3601" s="0" t="s">
        <v>6495</v>
      </c>
      <c r="B3601" s="0" t="s">
        <v>6496</v>
      </c>
      <c r="C3601" s="5">
        <f>=HYPERLINK("https://nusmods.com/modules/UTC2113#timetable","Timetable")</f>
      </c>
      <c r="D3601" s="5">
        <f>=HYPERLINK("https://canvas.nus.edu.sg/courses/24747","Canvas course site")</f>
      </c>
      <c r="E3601" s="5">
        <f>=HYPERLINK("https://luminus.nus.edu.sg/modules/06078c20-2939-43ca-ac79-754d94c95aa2","LumiNUS course site")</f>
      </c>
      <c r="F3601" s="0" t="s">
        <v>1532</v>
      </c>
      <c r="G3601" s="0" t="s">
        <v>6462</v>
      </c>
      <c r="H3601" s="3">
        <v>30</v>
      </c>
    </row>
    <row r="3602">
      <c r="A3602" s="0" t="s">
        <v>6497</v>
      </c>
      <c r="B3602" s="0" t="s">
        <v>6498</v>
      </c>
      <c r="C3602" s="5">
        <f>=HYPERLINK("https://nusmods.com/modules/UTC2116#timetable","Timetable")</f>
      </c>
      <c r="D3602" s="5">
        <f>=HYPERLINK("https://canvas.nus.edu.sg/courses/26099","Canvas course site")</f>
      </c>
      <c r="E3602" s="5"/>
      <c r="F3602" s="0" t="s">
        <v>1532</v>
      </c>
      <c r="G3602" s="0" t="s">
        <v>6462</v>
      </c>
      <c r="H3602" s="3">
        <v>27</v>
      </c>
    </row>
    <row r="3603">
      <c r="A3603" s="0" t="s">
        <v>6499</v>
      </c>
      <c r="B3603" s="0" t="s">
        <v>1046</v>
      </c>
      <c r="C3603" s="5">
        <f>=HYPERLINK("https://nusmods.com/modules/UTC2400#timetable","Timetable")</f>
      </c>
      <c r="D3603" s="5">
        <f>=HYPERLINK("https://canvas.nus.edu.sg/courses/24751","Canvas course site")</f>
      </c>
      <c r="E3603" s="5">
        <f>=HYPERLINK("https://luminus.nus.edu.sg/modules/4bd5a5f4-801c-4060-8b91-24bba9442d47","LumiNUS course site")</f>
      </c>
      <c r="F3603" s="0" t="s">
        <v>1532</v>
      </c>
      <c r="G3603" s="0" t="s">
        <v>6473</v>
      </c>
      <c r="H3603" s="3">
        <v>35</v>
      </c>
    </row>
    <row r="3604">
      <c r="A3604" s="0" t="s">
        <v>6500</v>
      </c>
      <c r="B3604" s="0" t="s">
        <v>6501</v>
      </c>
      <c r="C3604" s="5">
        <f>=HYPERLINK("https://nusmods.com/modules/UTC2402#timetable","Timetable")</f>
      </c>
      <c r="D3604" s="5">
        <f>=HYPERLINK("https://canvas.nus.edu.sg/courses/26123","Canvas course site")</f>
      </c>
      <c r="E3604" s="5">
        <f>=HYPERLINK("https://luminus.nus.edu.sg/modules/098875e6-2489-4017-9475-2226a7af812e","LumiNUS course site")</f>
      </c>
      <c r="F3604" s="0" t="s">
        <v>1532</v>
      </c>
      <c r="G3604" s="0" t="s">
        <v>6473</v>
      </c>
      <c r="H3604" s="3">
        <v>48</v>
      </c>
    </row>
    <row r="3605">
      <c r="A3605" s="0" t="s">
        <v>6502</v>
      </c>
      <c r="B3605" s="0" t="s">
        <v>6503</v>
      </c>
      <c r="C3605" s="5">
        <f>=HYPERLINK("https://nusmods.com/modules/UTC2407#timetable","Timetable")</f>
      </c>
      <c r="D3605" s="5">
        <f>=HYPERLINK("https://canvas.nus.edu.sg/courses/26103","Canvas course site")</f>
      </c>
      <c r="E3605" s="5"/>
      <c r="F3605" s="0" t="s">
        <v>1532</v>
      </c>
      <c r="G3605" s="0" t="s">
        <v>6473</v>
      </c>
      <c r="H3605" s="3">
        <v>12</v>
      </c>
    </row>
    <row r="3606">
      <c r="A3606" s="0" t="s">
        <v>6504</v>
      </c>
      <c r="B3606" s="0" t="s">
        <v>6505</v>
      </c>
      <c r="C3606" s="5">
        <f>=HYPERLINK("https://nusmods.com/modules/UTC2411#timetable","Timetable")</f>
      </c>
      <c r="D3606" s="5"/>
      <c r="E3606" s="5">
        <f>=HYPERLINK("https://luminus.nus.edu.sg/modules/6ad1bea2-65e8-4885-8960-b64e1e9c9d09","LumiNUS course site")</f>
      </c>
      <c r="F3606" s="0" t="s">
        <v>1532</v>
      </c>
      <c r="G3606" s="0" t="s">
        <v>6473</v>
      </c>
      <c r="H3606" s="3">
        <v>12</v>
      </c>
    </row>
    <row r="3607">
      <c r="A3607" s="0" t="s">
        <v>6506</v>
      </c>
      <c r="B3607" s="0" t="s">
        <v>6507</v>
      </c>
      <c r="C3607" s="5">
        <f>=HYPERLINK("https://nusmods.com/modules/UTC2412#timetable","Timetable")</f>
      </c>
      <c r="D3607" s="5"/>
      <c r="E3607" s="5">
        <f>=HYPERLINK("https://luminus.nus.edu.sg/modules/f77bd4b9-968c-448a-83aa-b92f0c5e6288","LumiNUS course site")</f>
      </c>
      <c r="F3607" s="0" t="s">
        <v>1532</v>
      </c>
      <c r="G3607" s="0" t="s">
        <v>6473</v>
      </c>
      <c r="H3607" s="3">
        <v>26</v>
      </c>
    </row>
    <row r="3608">
      <c r="A3608" s="0" t="s">
        <v>6508</v>
      </c>
      <c r="B3608" s="0" t="s">
        <v>6509</v>
      </c>
      <c r="C3608" s="5">
        <f>=HYPERLINK("https://nusmods.com/modules/UTC2414#timetable","Timetable")</f>
      </c>
      <c r="D3608" s="5">
        <f>=HYPERLINK("https://canvas.nus.edu.sg/courses/26112","Canvas course site")</f>
      </c>
      <c r="E3608" s="5"/>
      <c r="F3608" s="0" t="s">
        <v>1532</v>
      </c>
      <c r="G3608" s="0" t="s">
        <v>6473</v>
      </c>
      <c r="H3608" s="3">
        <v>19</v>
      </c>
    </row>
    <row r="3609">
      <c r="A3609" s="0" t="s">
        <v>6510</v>
      </c>
      <c r="B3609" s="0" t="s">
        <v>6511</v>
      </c>
      <c r="C3609" s="5">
        <f>=HYPERLINK("https://nusmods.com/modules/UTC2417#timetable","Timetable")</f>
      </c>
      <c r="D3609" s="5"/>
      <c r="E3609" s="5">
        <f>=HYPERLINK("https://luminus.nus.edu.sg/modules/d55cd08e-fecd-4c5b-b79b-80b06c717254","LumiNUS course site")</f>
      </c>
      <c r="F3609" s="0" t="s">
        <v>1532</v>
      </c>
      <c r="G3609" s="0" t="s">
        <v>6473</v>
      </c>
      <c r="H3609" s="3">
        <v>21</v>
      </c>
    </row>
    <row r="3610">
      <c r="A3610" s="0" t="s">
        <v>6512</v>
      </c>
      <c r="B3610" s="0" t="s">
        <v>6513</v>
      </c>
      <c r="C3610" s="5">
        <f>=HYPERLINK("https://nusmods.com/modules/UTC2703#timetable","Timetable")</f>
      </c>
      <c r="D3610" s="5">
        <f>=HYPERLINK("https://canvas.nus.edu.sg/courses/26523","Canvas course site")</f>
      </c>
      <c r="E3610" s="5"/>
      <c r="F3610" s="0" t="s">
        <v>1532</v>
      </c>
      <c r="G3610" s="0" t="s">
        <v>6484</v>
      </c>
      <c r="H3610" s="3">
        <v>18</v>
      </c>
    </row>
    <row r="3611">
      <c r="A3611" s="0" t="s">
        <v>6514</v>
      </c>
      <c r="B3611" s="0" t="s">
        <v>6515</v>
      </c>
      <c r="C3611" s="5">
        <f>=HYPERLINK("https://nusmods.com/modules/UTC2704#timetable","Timetable")</f>
      </c>
      <c r="D3611" s="5"/>
      <c r="E3611" s="5">
        <f>=HYPERLINK("https://luminus.nus.edu.sg/modules/22ccb4ac-9091-46bf-9520-3fb85b140316","LumiNUS course site")</f>
      </c>
      <c r="F3611" s="0" t="s">
        <v>1532</v>
      </c>
      <c r="G3611" s="0" t="s">
        <v>6484</v>
      </c>
      <c r="H3611" s="3">
        <v>3</v>
      </c>
    </row>
    <row r="3612">
      <c r="A3612" s="0" t="s">
        <v>6516</v>
      </c>
      <c r="B3612" s="0" t="s">
        <v>6517</v>
      </c>
      <c r="C3612" s="5">
        <f>=HYPERLINK("https://nusmods.com/modules/UTC2706#timetable","Timetable")</f>
      </c>
      <c r="D3612" s="5">
        <f>=HYPERLINK("https://canvas.nus.edu.sg/courses/24759","Canvas course site")</f>
      </c>
      <c r="E3612" s="5"/>
      <c r="F3612" s="0" t="s">
        <v>1532</v>
      </c>
      <c r="G3612" s="0" t="s">
        <v>6484</v>
      </c>
      <c r="H3612" s="3">
        <v>36</v>
      </c>
    </row>
    <row r="3613">
      <c r="A3613" s="0" t="s">
        <v>6518</v>
      </c>
      <c r="B3613" s="0" t="s">
        <v>6519</v>
      </c>
      <c r="C3613" s="5">
        <f>=HYPERLINK("https://nusmods.com/modules/UTC2713#timetable","Timetable")</f>
      </c>
      <c r="D3613" s="5">
        <f>=HYPERLINK("https://canvas.nus.edu.sg/courses/26568","Canvas course site")</f>
      </c>
      <c r="E3613" s="5"/>
      <c r="F3613" s="0" t="s">
        <v>1532</v>
      </c>
      <c r="G3613" s="0" t="s">
        <v>6484</v>
      </c>
      <c r="H3613" s="3">
        <v>2</v>
      </c>
    </row>
    <row r="3614">
      <c r="A3614" s="0" t="s">
        <v>6520</v>
      </c>
      <c r="B3614" s="0" t="s">
        <v>6521</v>
      </c>
      <c r="C3614" s="5">
        <f>=HYPERLINK("https://nusmods.com/modules/UTC2715#timetable","Timetable")</f>
      </c>
      <c r="D3614" s="5"/>
      <c r="E3614" s="5">
        <f>=HYPERLINK("https://luminus.nus.edu.sg/modules/39e69dd8-57a4-4da9-9296-7dc8e63217cf","LumiNUS course site")</f>
      </c>
      <c r="F3614" s="0" t="s">
        <v>1532</v>
      </c>
      <c r="G3614" s="0" t="s">
        <v>6484</v>
      </c>
      <c r="H3614" s="3">
        <v>3</v>
      </c>
    </row>
    <row r="3615">
      <c r="A3615" s="0" t="s">
        <v>6522</v>
      </c>
      <c r="B3615" s="0" t="s">
        <v>6523</v>
      </c>
      <c r="C3615" s="5">
        <f>=HYPERLINK("https://nusmods.com/modules/UTC2716#timetable","Timetable")</f>
      </c>
      <c r="D3615" s="5">
        <f>=HYPERLINK("https://canvas.nus.edu.sg/courses/26565","Canvas course site")</f>
      </c>
      <c r="E3615" s="5"/>
      <c r="F3615" s="0" t="s">
        <v>1532</v>
      </c>
      <c r="G3615" s="0" t="s">
        <v>6484</v>
      </c>
      <c r="H3615" s="3">
        <v>15</v>
      </c>
    </row>
    <row r="3616">
      <c r="A3616" s="0" t="s">
        <v>6524</v>
      </c>
      <c r="B3616" s="0" t="s">
        <v>6525</v>
      </c>
      <c r="C3616" s="5">
        <f>=HYPERLINK("https://nusmods.com/modules/UTC2717#timetable","Timetable")</f>
      </c>
      <c r="D3616" s="5">
        <f>=HYPERLINK("https://canvas.nus.edu.sg/courses/35445","Canvas course site")</f>
      </c>
      <c r="E3616" s="5"/>
      <c r="F3616" s="0" t="s">
        <v>1532</v>
      </c>
      <c r="G3616" s="0" t="s">
        <v>6484</v>
      </c>
      <c r="H3616" s="3">
        <v>3</v>
      </c>
    </row>
    <row r="3617">
      <c r="A3617" s="0" t="s">
        <v>6526</v>
      </c>
      <c r="B3617" s="0" t="s">
        <v>6527</v>
      </c>
      <c r="C3617" s="5">
        <f>=HYPERLINK("https://nusmods.com/modules/UTC2722#timetable","Timetable")</f>
      </c>
      <c r="D3617" s="5"/>
      <c r="E3617" s="5">
        <f>=HYPERLINK("https://luminus.nus.edu.sg/modules/12939581-911d-475a-9c2a-06e380123786","LumiNUS course site")</f>
      </c>
      <c r="F3617" s="0" t="s">
        <v>1532</v>
      </c>
      <c r="G3617" s="0" t="s">
        <v>6484</v>
      </c>
      <c r="H3617" s="3">
        <v>18</v>
      </c>
    </row>
    <row r="3618">
      <c r="A3618" s="0" t="s">
        <v>6528</v>
      </c>
      <c r="B3618" s="0" t="s">
        <v>6529</v>
      </c>
      <c r="C3618" s="5">
        <f>=HYPERLINK("https://nusmods.com/modules/UTC2723#timetable","Timetable")</f>
      </c>
      <c r="D3618" s="5">
        <f>=HYPERLINK("https://canvas.nus.edu.sg/courses/24766","Canvas course site")</f>
      </c>
      <c r="E3618" s="5"/>
      <c r="F3618" s="0" t="s">
        <v>1532</v>
      </c>
      <c r="G3618" s="0" t="s">
        <v>6484</v>
      </c>
      <c r="H3618" s="3">
        <v>16</v>
      </c>
    </row>
    <row r="3619">
      <c r="A3619" s="0" t="s">
        <v>6530</v>
      </c>
      <c r="B3619" s="0" t="s">
        <v>6531</v>
      </c>
      <c r="C3619" s="5">
        <f>=HYPERLINK("https://nusmods.com/modules/UTC2727#timetable","Timetable")</f>
      </c>
      <c r="D3619" s="5"/>
      <c r="E3619" s="5">
        <f>=HYPERLINK("https://luminus.nus.edu.sg/modules/247b5ddd-4f08-4ec0-b03c-8fc8a6d0b34d","LumiNUS course site")</f>
      </c>
      <c r="F3619" s="0" t="s">
        <v>1532</v>
      </c>
      <c r="G3619" s="0" t="s">
        <v>6484</v>
      </c>
      <c r="H3619" s="3">
        <v>2</v>
      </c>
    </row>
    <row r="3620">
      <c r="A3620" s="0" t="s">
        <v>6532</v>
      </c>
      <c r="B3620" s="0" t="s">
        <v>6533</v>
      </c>
      <c r="C3620" s="5">
        <f>=HYPERLINK("https://nusmods.com/modules/UTC3102#timetable","Timetable")</f>
      </c>
      <c r="D3620" s="5"/>
      <c r="E3620" s="5"/>
      <c r="F3620" s="0" t="s">
        <v>1532</v>
      </c>
      <c r="G3620" s="0" t="s">
        <v>6462</v>
      </c>
      <c r="H3620" s="3">
        <v>3</v>
      </c>
    </row>
    <row r="3621">
      <c r="A3621" s="0" t="s">
        <v>6534</v>
      </c>
      <c r="B3621" s="0" t="s">
        <v>6535</v>
      </c>
      <c r="C3621" s="5">
        <f>=HYPERLINK("https://nusmods.com/modules/UTC3401#timetable","Timetable")</f>
      </c>
      <c r="D3621" s="5"/>
      <c r="E3621" s="5">
        <f>=HYPERLINK("https://luminus.nus.edu.sg/modules/b93f98c6-276d-4780-a05f-f1ce8887caad","LumiNUS course site")</f>
      </c>
      <c r="F3621" s="0" t="s">
        <v>1532</v>
      </c>
      <c r="G3621" s="0" t="s">
        <v>6473</v>
      </c>
      <c r="H3621" s="3">
        <v>1</v>
      </c>
    </row>
    <row r="3622">
      <c r="A3622" s="0" t="s">
        <v>6536</v>
      </c>
      <c r="B3622" s="0" t="s">
        <v>6537</v>
      </c>
      <c r="C3622" s="5">
        <f>=HYPERLINK("https://nusmods.com/modules/UTOA2001EL#timetable","Timetable")</f>
      </c>
      <c r="D3622" s="5"/>
      <c r="E3622" s="5"/>
      <c r="F3622" s="0" t="s">
        <v>73</v>
      </c>
      <c r="G3622" s="0" t="s">
        <v>2042</v>
      </c>
      <c r="H3622" s="3">
        <v>2</v>
      </c>
    </row>
    <row r="3623">
      <c r="A3623" s="0" t="s">
        <v>6538</v>
      </c>
      <c r="B3623" s="0" t="s">
        <v>6537</v>
      </c>
      <c r="C3623" s="5">
        <f>=HYPERLINK("https://nusmods.com/modules/UTOA2001HY#timetable","Timetable")</f>
      </c>
      <c r="D3623" s="5"/>
      <c r="E3623" s="5"/>
      <c r="F3623" s="0" t="s">
        <v>73</v>
      </c>
      <c r="G3623" s="0" t="s">
        <v>81</v>
      </c>
      <c r="H3623" s="3">
        <v>3</v>
      </c>
    </row>
    <row r="3624">
      <c r="A3624" s="0" t="s">
        <v>6539</v>
      </c>
      <c r="B3624" s="0" t="s">
        <v>6537</v>
      </c>
      <c r="C3624" s="5">
        <f>=HYPERLINK("https://nusmods.com/modules/UTOA2001NM#timetable","Timetable")</f>
      </c>
      <c r="D3624" s="5"/>
      <c r="E3624" s="5"/>
      <c r="F3624" s="0" t="s">
        <v>73</v>
      </c>
      <c r="G3624" s="0" t="s">
        <v>74</v>
      </c>
      <c r="H3624" s="3">
        <v>6</v>
      </c>
    </row>
    <row r="3625">
      <c r="A3625" s="0" t="s">
        <v>6540</v>
      </c>
      <c r="B3625" s="0" t="s">
        <v>6537</v>
      </c>
      <c r="C3625" s="5">
        <f>=HYPERLINK("https://nusmods.com/modules/UTOA2001PH#timetable","Timetable")</f>
      </c>
      <c r="D3625" s="5"/>
      <c r="E3625" s="5">
        <f>=HYPERLINK("https://luminus.nus.edu.sg/modules/29f807db-5790-4000-a121-e11ff0ece33a","LumiNUS course site")</f>
      </c>
      <c r="F3625" s="0" t="s">
        <v>73</v>
      </c>
      <c r="G3625" s="0" t="s">
        <v>1514</v>
      </c>
      <c r="H3625" s="3">
        <v>7</v>
      </c>
    </row>
    <row r="3626">
      <c r="A3626" s="0" t="s">
        <v>6541</v>
      </c>
      <c r="B3626" s="0" t="s">
        <v>6537</v>
      </c>
      <c r="C3626" s="5">
        <f>=HYPERLINK("https://nusmods.com/modules/UTOA2002EL#timetable","Timetable")</f>
      </c>
      <c r="D3626" s="5"/>
      <c r="E3626" s="5"/>
      <c r="F3626" s="0" t="s">
        <v>73</v>
      </c>
      <c r="G3626" s="0" t="s">
        <v>2042</v>
      </c>
      <c r="H3626" s="3">
        <v>0</v>
      </c>
    </row>
    <row r="3627">
      <c r="A3627" s="0" t="s">
        <v>6542</v>
      </c>
      <c r="B3627" s="0" t="s">
        <v>6537</v>
      </c>
      <c r="C3627" s="5">
        <f>=HYPERLINK("https://nusmods.com/modules/UTOA2201EL#timetable","Timetable")</f>
      </c>
      <c r="D3627" s="5"/>
      <c r="E3627" s="5"/>
      <c r="F3627" s="0" t="s">
        <v>73</v>
      </c>
      <c r="G3627" s="0" t="s">
        <v>2042</v>
      </c>
      <c r="H3627" s="3">
        <v>0</v>
      </c>
    </row>
    <row r="3628">
      <c r="A3628" s="0" t="s">
        <v>6543</v>
      </c>
      <c r="B3628" s="0" t="s">
        <v>6537</v>
      </c>
      <c r="C3628" s="5">
        <f>=HYPERLINK("https://nusmods.com/modules/UTOS2001#timetable","Timetable")</f>
      </c>
      <c r="D3628" s="5"/>
      <c r="E3628" s="5"/>
      <c r="F3628" s="0" t="s">
        <v>266</v>
      </c>
      <c r="G3628" s="0" t="s">
        <v>1536</v>
      </c>
      <c r="H3628" s="3">
        <v>3</v>
      </c>
    </row>
    <row r="3629">
      <c r="A3629" s="0" t="s">
        <v>6544</v>
      </c>
      <c r="B3629" s="0" t="s">
        <v>6537</v>
      </c>
      <c r="C3629" s="5">
        <f>=HYPERLINK("https://nusmods.com/modules/UTOS2001B#timetable","Timetable")</f>
      </c>
      <c r="D3629" s="5"/>
      <c r="E3629" s="5"/>
      <c r="F3629" s="0" t="s">
        <v>266</v>
      </c>
      <c r="G3629" s="0" t="s">
        <v>267</v>
      </c>
      <c r="H3629" s="3">
        <v>6</v>
      </c>
    </row>
    <row r="3630">
      <c r="A3630" s="0" t="s">
        <v>6545</v>
      </c>
      <c r="B3630" s="0" t="s">
        <v>6537</v>
      </c>
      <c r="C3630" s="5">
        <f>=HYPERLINK("https://nusmods.com/modules/UTOS2001C#timetable","Timetable")</f>
      </c>
      <c r="D3630" s="5"/>
      <c r="E3630" s="5"/>
      <c r="F3630" s="0" t="s">
        <v>266</v>
      </c>
      <c r="G3630" s="0" t="s">
        <v>1053</v>
      </c>
      <c r="H3630" s="3">
        <v>1</v>
      </c>
    </row>
    <row r="3631">
      <c r="A3631" s="0" t="s">
        <v>6546</v>
      </c>
      <c r="B3631" s="0" t="s">
        <v>6537</v>
      </c>
      <c r="C3631" s="5">
        <f>=HYPERLINK("https://nusmods.com/modules/UTOS2001F#timetable","Timetable")</f>
      </c>
      <c r="D3631" s="5"/>
      <c r="E3631" s="5"/>
      <c r="F3631" s="0" t="s">
        <v>266</v>
      </c>
      <c r="G3631" s="0" t="s">
        <v>2322</v>
      </c>
      <c r="H3631" s="3">
        <v>0</v>
      </c>
    </row>
    <row r="3632">
      <c r="A3632" s="0" t="s">
        <v>6547</v>
      </c>
      <c r="B3632" s="0" t="s">
        <v>6537</v>
      </c>
      <c r="C3632" s="5">
        <f>=HYPERLINK("https://nusmods.com/modules/UTOS2001M#timetable","Timetable")</f>
      </c>
      <c r="D3632" s="5"/>
      <c r="E3632" s="5"/>
      <c r="F3632" s="0" t="s">
        <v>266</v>
      </c>
      <c r="G3632" s="0" t="s">
        <v>1621</v>
      </c>
      <c r="H3632" s="3">
        <v>3</v>
      </c>
    </row>
    <row r="3633">
      <c r="A3633" s="0" t="s">
        <v>6548</v>
      </c>
      <c r="B3633" s="0" t="s">
        <v>6537</v>
      </c>
      <c r="C3633" s="5">
        <f>=HYPERLINK("https://nusmods.com/modules/UTOS2001P#timetable","Timetable")</f>
      </c>
      <c r="D3633" s="5"/>
      <c r="E3633" s="5"/>
      <c r="F3633" s="0" t="s">
        <v>266</v>
      </c>
      <c r="G3633" s="0" t="s">
        <v>1230</v>
      </c>
      <c r="H3633" s="3">
        <v>0</v>
      </c>
    </row>
    <row r="3634">
      <c r="A3634" s="0" t="s">
        <v>6549</v>
      </c>
      <c r="B3634" s="0" t="s">
        <v>6537</v>
      </c>
      <c r="C3634" s="5">
        <f>=HYPERLINK("https://nusmods.com/modules/UTOS2001R#timetable","Timetable")</f>
      </c>
      <c r="D3634" s="5"/>
      <c r="E3634" s="5"/>
      <c r="F3634" s="0" t="s">
        <v>266</v>
      </c>
      <c r="G3634" s="0" t="s">
        <v>5199</v>
      </c>
      <c r="H3634" s="3">
        <v>0</v>
      </c>
    </row>
    <row r="3635">
      <c r="A3635" s="0" t="s">
        <v>6550</v>
      </c>
      <c r="B3635" s="0" t="s">
        <v>6537</v>
      </c>
      <c r="C3635" s="5">
        <f>=HYPERLINK("https://nusmods.com/modules/UTOS2001S#timetable","Timetable")</f>
      </c>
      <c r="D3635" s="5"/>
      <c r="E3635" s="5"/>
      <c r="F3635" s="0" t="s">
        <v>266</v>
      </c>
      <c r="G3635" s="0" t="s">
        <v>1616</v>
      </c>
      <c r="H3635" s="3">
        <v>0</v>
      </c>
    </row>
    <row r="3636">
      <c r="A3636" s="0" t="s">
        <v>6551</v>
      </c>
      <c r="B3636" s="0" t="s">
        <v>6537</v>
      </c>
      <c r="C3636" s="5">
        <f>=HYPERLINK("https://nusmods.com/modules/UTOS2002#timetable","Timetable")</f>
      </c>
      <c r="D3636" s="5"/>
      <c r="E3636" s="5"/>
      <c r="F3636" s="0" t="s">
        <v>266</v>
      </c>
      <c r="G3636" s="0" t="s">
        <v>1536</v>
      </c>
      <c r="H3636" s="3">
        <v>0</v>
      </c>
    </row>
    <row r="3637">
      <c r="A3637" s="0" t="s">
        <v>6552</v>
      </c>
      <c r="B3637" s="0" t="s">
        <v>6537</v>
      </c>
      <c r="C3637" s="5">
        <f>=HYPERLINK("https://nusmods.com/modules/UTOS2002B#timetable","Timetable")</f>
      </c>
      <c r="D3637" s="5"/>
      <c r="E3637" s="5"/>
      <c r="F3637" s="0" t="s">
        <v>266</v>
      </c>
      <c r="G3637" s="0" t="s">
        <v>267</v>
      </c>
      <c r="H3637" s="3">
        <v>0</v>
      </c>
    </row>
    <row r="3638">
      <c r="A3638" s="0" t="s">
        <v>6553</v>
      </c>
      <c r="B3638" s="0" t="s">
        <v>6537</v>
      </c>
      <c r="C3638" s="5">
        <f>=HYPERLINK("https://nusmods.com/modules/UTOS2002C#timetable","Timetable")</f>
      </c>
      <c r="D3638" s="5"/>
      <c r="E3638" s="5"/>
      <c r="F3638" s="0" t="s">
        <v>266</v>
      </c>
      <c r="G3638" s="0" t="s">
        <v>1053</v>
      </c>
      <c r="H3638" s="3">
        <v>0</v>
      </c>
    </row>
    <row r="3639">
      <c r="A3639" s="0" t="s">
        <v>6554</v>
      </c>
      <c r="B3639" s="0" t="s">
        <v>6537</v>
      </c>
      <c r="C3639" s="5">
        <f>=HYPERLINK("https://nusmods.com/modules/UTOS2002F#timetable","Timetable")</f>
      </c>
      <c r="D3639" s="5"/>
      <c r="E3639" s="5"/>
      <c r="F3639" s="0" t="s">
        <v>266</v>
      </c>
      <c r="G3639" s="0" t="s">
        <v>2322</v>
      </c>
      <c r="H3639" s="3">
        <v>0</v>
      </c>
    </row>
    <row r="3640">
      <c r="A3640" s="0" t="s">
        <v>6555</v>
      </c>
      <c r="B3640" s="0" t="s">
        <v>6537</v>
      </c>
      <c r="C3640" s="5">
        <f>=HYPERLINK("https://nusmods.com/modules/UTOS2002M#timetable","Timetable")</f>
      </c>
      <c r="D3640" s="5"/>
      <c r="E3640" s="5"/>
      <c r="F3640" s="0" t="s">
        <v>266</v>
      </c>
      <c r="G3640" s="0" t="s">
        <v>1621</v>
      </c>
      <c r="H3640" s="3">
        <v>0</v>
      </c>
    </row>
    <row r="3641">
      <c r="A3641" s="0" t="s">
        <v>6556</v>
      </c>
      <c r="B3641" s="0" t="s">
        <v>6537</v>
      </c>
      <c r="C3641" s="5">
        <f>=HYPERLINK("https://nusmods.com/modules/UTOS2002P#timetable","Timetable")</f>
      </c>
      <c r="D3641" s="5"/>
      <c r="E3641" s="5"/>
      <c r="F3641" s="0" t="s">
        <v>266</v>
      </c>
      <c r="G3641" s="0" t="s">
        <v>1230</v>
      </c>
      <c r="H3641" s="3">
        <v>0</v>
      </c>
    </row>
    <row r="3642">
      <c r="A3642" s="0" t="s">
        <v>6557</v>
      </c>
      <c r="B3642" s="0" t="s">
        <v>6537</v>
      </c>
      <c r="C3642" s="5">
        <f>=HYPERLINK("https://nusmods.com/modules/UTOS2002R#timetable","Timetable")</f>
      </c>
      <c r="D3642" s="5"/>
      <c r="E3642" s="5"/>
      <c r="F3642" s="0" t="s">
        <v>266</v>
      </c>
      <c r="G3642" s="0" t="s">
        <v>5199</v>
      </c>
      <c r="H3642" s="3">
        <v>0</v>
      </c>
    </row>
    <row r="3643">
      <c r="A3643" s="0" t="s">
        <v>6558</v>
      </c>
      <c r="B3643" s="0" t="s">
        <v>6537</v>
      </c>
      <c r="C3643" s="5">
        <f>=HYPERLINK("https://nusmods.com/modules/UTOS2002S#timetable","Timetable")</f>
      </c>
      <c r="D3643" s="5"/>
      <c r="E3643" s="5"/>
      <c r="F3643" s="0" t="s">
        <v>266</v>
      </c>
      <c r="G3643" s="0" t="s">
        <v>1616</v>
      </c>
      <c r="H3643" s="3">
        <v>0</v>
      </c>
    </row>
    <row r="3644">
      <c r="A3644" s="0" t="s">
        <v>6559</v>
      </c>
      <c r="B3644" s="0" t="s">
        <v>6537</v>
      </c>
      <c r="C3644" s="5">
        <f>=HYPERLINK("https://nusmods.com/modules/UTOS2201#timetable","Timetable")</f>
      </c>
      <c r="D3644" s="5"/>
      <c r="E3644" s="5"/>
      <c r="F3644" s="0" t="s">
        <v>266</v>
      </c>
      <c r="G3644" s="0" t="s">
        <v>1536</v>
      </c>
      <c r="H3644" s="3">
        <v>0</v>
      </c>
    </row>
    <row r="3645">
      <c r="A3645" s="0" t="s">
        <v>6560</v>
      </c>
      <c r="B3645" s="0" t="s">
        <v>6537</v>
      </c>
      <c r="C3645" s="5">
        <f>=HYPERLINK("https://nusmods.com/modules/UTOS2201B#timetable","Timetable")</f>
      </c>
      <c r="D3645" s="5"/>
      <c r="E3645" s="5"/>
      <c r="F3645" s="0" t="s">
        <v>266</v>
      </c>
      <c r="G3645" s="0" t="s">
        <v>267</v>
      </c>
      <c r="H3645" s="3">
        <v>0</v>
      </c>
    </row>
    <row r="3646">
      <c r="A3646" s="0" t="s">
        <v>6561</v>
      </c>
      <c r="B3646" s="0" t="s">
        <v>6537</v>
      </c>
      <c r="C3646" s="5">
        <f>=HYPERLINK("https://nusmods.com/modules/UTOS2201C#timetable","Timetable")</f>
      </c>
      <c r="D3646" s="5"/>
      <c r="E3646" s="5"/>
      <c r="F3646" s="0" t="s">
        <v>266</v>
      </c>
      <c r="G3646" s="0" t="s">
        <v>1053</v>
      </c>
      <c r="H3646" s="3">
        <v>2</v>
      </c>
    </row>
    <row r="3647">
      <c r="A3647" s="0" t="s">
        <v>6562</v>
      </c>
      <c r="B3647" s="0" t="s">
        <v>6537</v>
      </c>
      <c r="C3647" s="5">
        <f>=HYPERLINK("https://nusmods.com/modules/UTOS2201F#timetable","Timetable")</f>
      </c>
      <c r="D3647" s="5"/>
      <c r="E3647" s="5"/>
      <c r="F3647" s="0" t="s">
        <v>266</v>
      </c>
      <c r="G3647" s="0" t="s">
        <v>2322</v>
      </c>
      <c r="H3647" s="3">
        <v>0</v>
      </c>
    </row>
    <row r="3648">
      <c r="A3648" s="0" t="s">
        <v>6563</v>
      </c>
      <c r="B3648" s="0" t="s">
        <v>6537</v>
      </c>
      <c r="C3648" s="5">
        <f>=HYPERLINK("https://nusmods.com/modules/UTOS2201M#timetable","Timetable")</f>
      </c>
      <c r="D3648" s="5"/>
      <c r="E3648" s="5"/>
      <c r="F3648" s="0" t="s">
        <v>266</v>
      </c>
      <c r="G3648" s="0" t="s">
        <v>1621</v>
      </c>
      <c r="H3648" s="3">
        <v>0</v>
      </c>
    </row>
    <row r="3649">
      <c r="A3649" s="0" t="s">
        <v>6564</v>
      </c>
      <c r="B3649" s="0" t="s">
        <v>6537</v>
      </c>
      <c r="C3649" s="5">
        <f>=HYPERLINK("https://nusmods.com/modules/UTOS2201P#timetable","Timetable")</f>
      </c>
      <c r="D3649" s="5"/>
      <c r="E3649" s="5"/>
      <c r="F3649" s="0" t="s">
        <v>266</v>
      </c>
      <c r="G3649" s="0" t="s">
        <v>1230</v>
      </c>
      <c r="H3649" s="3">
        <v>0</v>
      </c>
    </row>
    <row r="3650">
      <c r="A3650" s="0" t="s">
        <v>6565</v>
      </c>
      <c r="B3650" s="0" t="s">
        <v>6537</v>
      </c>
      <c r="C3650" s="5">
        <f>=HYPERLINK("https://nusmods.com/modules/UTOS2201R#timetable","Timetable")</f>
      </c>
      <c r="D3650" s="5"/>
      <c r="E3650" s="5"/>
      <c r="F3650" s="0" t="s">
        <v>266</v>
      </c>
      <c r="G3650" s="0" t="s">
        <v>5199</v>
      </c>
      <c r="H3650" s="3">
        <v>0</v>
      </c>
    </row>
    <row r="3651">
      <c r="A3651" s="0" t="s">
        <v>6566</v>
      </c>
      <c r="B3651" s="0" t="s">
        <v>6537</v>
      </c>
      <c r="C3651" s="5">
        <f>=HYPERLINK("https://nusmods.com/modules/UTOS2201S#timetable","Timetable")</f>
      </c>
      <c r="D3651" s="5"/>
      <c r="E3651" s="5"/>
      <c r="F3651" s="0" t="s">
        <v>266</v>
      </c>
      <c r="G3651" s="0" t="s">
        <v>1616</v>
      </c>
      <c r="H3651" s="3">
        <v>0</v>
      </c>
    </row>
    <row r="3652">
      <c r="A3652" s="0" t="s">
        <v>6567</v>
      </c>
      <c r="B3652" s="0" t="s">
        <v>6568</v>
      </c>
      <c r="C3652" s="5">
        <f>=HYPERLINK("https://nusmods.com/modules/UTS2100#timetable","Timetable")</f>
      </c>
      <c r="D3652" s="5">
        <f>=HYPERLINK("https://canvas.nus.edu.sg/courses/24874","Canvas course site")</f>
      </c>
      <c r="E3652" s="5"/>
      <c r="F3652" s="0" t="s">
        <v>1532</v>
      </c>
      <c r="G3652" s="0" t="s">
        <v>6462</v>
      </c>
      <c r="H3652" s="3">
        <v>59</v>
      </c>
    </row>
    <row r="3653">
      <c r="A3653" s="0" t="s">
        <v>6569</v>
      </c>
      <c r="B3653" s="0" t="s">
        <v>6570</v>
      </c>
      <c r="C3653" s="5">
        <f>=HYPERLINK("https://nusmods.com/modules/UTS2101#timetable","Timetable")</f>
      </c>
      <c r="D3653" s="5">
        <f>=HYPERLINK("https://canvas.nus.edu.sg/courses/24878","Canvas course site")</f>
      </c>
      <c r="E3653" s="5"/>
      <c r="F3653" s="0" t="s">
        <v>1532</v>
      </c>
      <c r="G3653" s="0" t="s">
        <v>6462</v>
      </c>
      <c r="H3653" s="3">
        <v>55</v>
      </c>
    </row>
    <row r="3654">
      <c r="A3654" s="0" t="s">
        <v>6571</v>
      </c>
      <c r="B3654" s="0" t="s">
        <v>6572</v>
      </c>
      <c r="C3654" s="5">
        <f>=HYPERLINK("https://nusmods.com/modules/UTS2114#timetable","Timetable")</f>
      </c>
      <c r="D3654" s="5">
        <f>=HYPERLINK("https://canvas.nus.edu.sg/courses/27221","Canvas course site")</f>
      </c>
      <c r="E3654" s="5"/>
      <c r="F3654" s="0" t="s">
        <v>1532</v>
      </c>
      <c r="G3654" s="0" t="s">
        <v>6462</v>
      </c>
      <c r="H3654" s="3">
        <v>15</v>
      </c>
    </row>
    <row r="3655">
      <c r="A3655" s="0" t="s">
        <v>6573</v>
      </c>
      <c r="B3655" s="0" t="s">
        <v>6511</v>
      </c>
      <c r="C3655" s="5">
        <f>=HYPERLINK("https://nusmods.com/modules/UTS2400#timetable","Timetable")</f>
      </c>
      <c r="D3655" s="5"/>
      <c r="E3655" s="5">
        <f>=HYPERLINK("https://luminus.nus.edu.sg/modules/d55cd08e-fecd-4c5b-b79b-80b06c717254","LumiNUS course site")</f>
      </c>
      <c r="F3655" s="0" t="s">
        <v>1532</v>
      </c>
      <c r="G3655" s="0" t="s">
        <v>6473</v>
      </c>
      <c r="H3655" s="3">
        <v>6</v>
      </c>
    </row>
    <row r="3656">
      <c r="A3656" s="0" t="s">
        <v>6574</v>
      </c>
      <c r="B3656" s="0" t="s">
        <v>6501</v>
      </c>
      <c r="C3656" s="5">
        <f>=HYPERLINK("https://nusmods.com/modules/UTS2402#timetable","Timetable")</f>
      </c>
      <c r="D3656" s="5">
        <f>=HYPERLINK("https://canvas.nus.edu.sg/courses/26123","Canvas course site")</f>
      </c>
      <c r="E3656" s="5">
        <f>=HYPERLINK("https://luminus.nus.edu.sg/modules/098875e6-2489-4017-9475-2226a7af812e","LumiNUS course site")</f>
      </c>
      <c r="F3656" s="0" t="s">
        <v>1532</v>
      </c>
      <c r="G3656" s="0" t="s">
        <v>6473</v>
      </c>
      <c r="H3656" s="3">
        <v>15</v>
      </c>
    </row>
    <row r="3657">
      <c r="A3657" s="0" t="s">
        <v>6575</v>
      </c>
      <c r="B3657" s="0" t="s">
        <v>6503</v>
      </c>
      <c r="C3657" s="5">
        <f>=HYPERLINK("https://nusmods.com/modules/UTS2405#timetable","Timetable")</f>
      </c>
      <c r="D3657" s="5">
        <f>=HYPERLINK("https://canvas.nus.edu.sg/courses/26103","Canvas course site")</f>
      </c>
      <c r="E3657" s="5"/>
      <c r="F3657" s="0" t="s">
        <v>1532</v>
      </c>
      <c r="G3657" s="0" t="s">
        <v>6473</v>
      </c>
      <c r="H3657" s="3">
        <v>6</v>
      </c>
    </row>
    <row r="3658">
      <c r="A3658" s="0" t="s">
        <v>6576</v>
      </c>
      <c r="B3658" s="0" t="s">
        <v>6505</v>
      </c>
      <c r="C3658" s="5">
        <f>=HYPERLINK("https://nusmods.com/modules/UTS2408#timetable","Timetable")</f>
      </c>
      <c r="D3658" s="5"/>
      <c r="E3658" s="5">
        <f>=HYPERLINK("https://luminus.nus.edu.sg/modules/6ad1bea2-65e8-4885-8960-b64e1e9c9d09","LumiNUS course site")</f>
      </c>
      <c r="F3658" s="0" t="s">
        <v>1532</v>
      </c>
      <c r="G3658" s="0" t="s">
        <v>6473</v>
      </c>
      <c r="H3658" s="3">
        <v>6</v>
      </c>
    </row>
    <row r="3659">
      <c r="A3659" s="0" t="s">
        <v>6577</v>
      </c>
      <c r="B3659" s="0" t="s">
        <v>6507</v>
      </c>
      <c r="C3659" s="5">
        <f>=HYPERLINK("https://nusmods.com/modules/UTS2409#timetable","Timetable")</f>
      </c>
      <c r="D3659" s="5"/>
      <c r="E3659" s="5">
        <f>=HYPERLINK("https://luminus.nus.edu.sg/modules/f77bd4b9-968c-448a-83aa-b92f0c5e6288","LumiNUS course site")</f>
      </c>
      <c r="F3659" s="0" t="s">
        <v>1532</v>
      </c>
      <c r="G3659" s="0" t="s">
        <v>6473</v>
      </c>
      <c r="H3659" s="3">
        <v>10</v>
      </c>
    </row>
    <row r="3660">
      <c r="A3660" s="0" t="s">
        <v>6578</v>
      </c>
      <c r="B3660" s="0" t="s">
        <v>6509</v>
      </c>
      <c r="C3660" s="5">
        <f>=HYPERLINK("https://nusmods.com/modules/UTS2410#timetable","Timetable")</f>
      </c>
      <c r="D3660" s="5">
        <f>=HYPERLINK("https://canvas.nus.edu.sg/courses/26112","Canvas course site")</f>
      </c>
      <c r="E3660" s="5"/>
      <c r="F3660" s="0" t="s">
        <v>1532</v>
      </c>
      <c r="G3660" s="0" t="s">
        <v>6473</v>
      </c>
      <c r="H3660" s="3">
        <v>6</v>
      </c>
    </row>
    <row r="3661">
      <c r="A3661" s="0" t="s">
        <v>6579</v>
      </c>
      <c r="B3661" s="0" t="s">
        <v>6519</v>
      </c>
      <c r="C3661" s="5">
        <f>=HYPERLINK("https://nusmods.com/modules/UTS2705#timetable","Timetable")</f>
      </c>
      <c r="D3661" s="5">
        <f>=HYPERLINK("https://canvas.nus.edu.sg/courses/26568","Canvas course site")</f>
      </c>
      <c r="E3661" s="5"/>
      <c r="F3661" s="0" t="s">
        <v>1532</v>
      </c>
      <c r="G3661" s="0" t="s">
        <v>6484</v>
      </c>
      <c r="H3661" s="3">
        <v>10</v>
      </c>
    </row>
    <row r="3662">
      <c r="A3662" s="0" t="s">
        <v>6580</v>
      </c>
      <c r="B3662" s="0" t="s">
        <v>6521</v>
      </c>
      <c r="C3662" s="5">
        <f>=HYPERLINK("https://nusmods.com/modules/UTS2707#timetable","Timetable")</f>
      </c>
      <c r="D3662" s="5"/>
      <c r="E3662" s="5">
        <f>=HYPERLINK("https://luminus.nus.edu.sg/modules/39e69dd8-57a4-4da9-9296-7dc8e63217cf","LumiNUS course site")</f>
      </c>
      <c r="F3662" s="0" t="s">
        <v>1532</v>
      </c>
      <c r="G3662" s="0" t="s">
        <v>6484</v>
      </c>
      <c r="H3662" s="3">
        <v>32</v>
      </c>
    </row>
    <row r="3663">
      <c r="A3663" s="0" t="s">
        <v>6581</v>
      </c>
      <c r="B3663" s="0" t="s">
        <v>6525</v>
      </c>
      <c r="C3663" s="5">
        <f>=HYPERLINK("https://nusmods.com/modules/UTS2708#timetable","Timetable")</f>
      </c>
      <c r="D3663" s="5">
        <f>=HYPERLINK("https://canvas.nus.edu.sg/courses/35445","Canvas course site")</f>
      </c>
      <c r="E3663" s="5"/>
      <c r="F3663" s="0" t="s">
        <v>1532</v>
      </c>
      <c r="G3663" s="0" t="s">
        <v>6484</v>
      </c>
      <c r="H3663" s="3">
        <v>15</v>
      </c>
    </row>
    <row r="3664">
      <c r="A3664" s="0" t="s">
        <v>6582</v>
      </c>
      <c r="B3664" s="0" t="s">
        <v>6531</v>
      </c>
      <c r="C3664" s="5">
        <f>=HYPERLINK("https://nusmods.com/modules/UTS2714#timetable","Timetable")</f>
      </c>
      <c r="D3664" s="5"/>
      <c r="E3664" s="5">
        <f>=HYPERLINK("https://luminus.nus.edu.sg/modules/247b5ddd-4f08-4ec0-b03c-8fc8a6d0b34d","LumiNUS course site")</f>
      </c>
      <c r="F3664" s="0" t="s">
        <v>1532</v>
      </c>
      <c r="G3664" s="0" t="s">
        <v>6484</v>
      </c>
      <c r="H3664" s="3">
        <v>15</v>
      </c>
    </row>
    <row r="3665">
      <c r="A3665" s="0" t="s">
        <v>6583</v>
      </c>
      <c r="B3665" s="0" t="s">
        <v>6584</v>
      </c>
      <c r="C3665" s="5">
        <f>=HYPERLINK("https://nusmods.com/modules/UTW1001A#timetable","Timetable")</f>
      </c>
      <c r="D3665" s="5">
        <f>=HYPERLINK("https://canvas.nus.edu.sg/courses/24886","Canvas course site")</f>
      </c>
      <c r="E3665" s="5"/>
      <c r="F3665" s="0" t="s">
        <v>926</v>
      </c>
      <c r="G3665" s="0" t="s">
        <v>1288</v>
      </c>
      <c r="H3665" s="3">
        <v>47</v>
      </c>
    </row>
    <row r="3666">
      <c r="A3666" s="0" t="s">
        <v>6585</v>
      </c>
      <c r="B3666" s="0" t="s">
        <v>6586</v>
      </c>
      <c r="C3666" s="5">
        <f>=HYPERLINK("https://nusmods.com/modules/UTW1001C#timetable","Timetable")</f>
      </c>
      <c r="D3666" s="5"/>
      <c r="E3666" s="5">
        <f>=HYPERLINK("https://luminus.nus.edu.sg/modules/844b8c5d-a1cb-45bb-b64c-66ecdb1acc06","LumiNUS course site")</f>
      </c>
      <c r="F3666" s="0" t="s">
        <v>926</v>
      </c>
      <c r="G3666" s="0" t="s">
        <v>1288</v>
      </c>
      <c r="H3666" s="3">
        <v>32</v>
      </c>
    </row>
    <row r="3667">
      <c r="A3667" s="0" t="s">
        <v>6587</v>
      </c>
      <c r="B3667" s="0" t="s">
        <v>6588</v>
      </c>
      <c r="C3667" s="5">
        <f>=HYPERLINK("https://nusmods.com/modules/UTW1001D#timetable","Timetable")</f>
      </c>
      <c r="D3667" s="5">
        <f>=HYPERLINK("https://canvas.nus.edu.sg/courses/24899","Canvas course site")</f>
      </c>
      <c r="E3667" s="5"/>
      <c r="F3667" s="0" t="s">
        <v>926</v>
      </c>
      <c r="G3667" s="0" t="s">
        <v>1288</v>
      </c>
      <c r="H3667" s="3">
        <v>58</v>
      </c>
    </row>
    <row r="3668">
      <c r="A3668" s="0" t="s">
        <v>6589</v>
      </c>
      <c r="B3668" s="0" t="s">
        <v>6590</v>
      </c>
      <c r="C3668" s="5">
        <f>=HYPERLINK("https://nusmods.com/modules/UTW1001F#timetable","Timetable")</f>
      </c>
      <c r="D3668" s="5"/>
      <c r="E3668" s="5">
        <f>=HYPERLINK("https://luminus.nus.edu.sg/modules/c9448117-0405-4bbf-a852-8e0088e88cc0","LumiNUS course site")</f>
      </c>
      <c r="F3668" s="0" t="s">
        <v>926</v>
      </c>
      <c r="G3668" s="0" t="s">
        <v>1288</v>
      </c>
      <c r="H3668" s="3">
        <v>47</v>
      </c>
    </row>
    <row r="3669">
      <c r="A3669" s="0" t="s">
        <v>6591</v>
      </c>
      <c r="B3669" s="0" t="s">
        <v>6592</v>
      </c>
      <c r="C3669" s="5">
        <f>=HYPERLINK("https://nusmods.com/modules/UTW1001H#timetable","Timetable")</f>
      </c>
      <c r="D3669" s="5"/>
      <c r="E3669" s="5">
        <f>=HYPERLINK("https://luminus.nus.edu.sg/modules/8407d994-3f71-4f7b-9c0c-abcd36c9c847","LumiNUS course site")</f>
      </c>
      <c r="F3669" s="0" t="s">
        <v>926</v>
      </c>
      <c r="G3669" s="0" t="s">
        <v>1288</v>
      </c>
      <c r="H3669" s="3">
        <v>32</v>
      </c>
    </row>
    <row r="3670">
      <c r="A3670" s="0" t="s">
        <v>6593</v>
      </c>
      <c r="B3670" s="0" t="s">
        <v>6594</v>
      </c>
      <c r="C3670" s="5">
        <f>=HYPERLINK("https://nusmods.com/modules/UTW1001I#timetable","Timetable")</f>
      </c>
      <c r="D3670" s="5">
        <f>=HYPERLINK("https://canvas.nus.edu.sg/courses/26799","Canvas course site")</f>
      </c>
      <c r="E3670" s="5"/>
      <c r="F3670" s="0" t="s">
        <v>926</v>
      </c>
      <c r="G3670" s="0" t="s">
        <v>1288</v>
      </c>
      <c r="H3670" s="3">
        <v>45</v>
      </c>
    </row>
    <row r="3671">
      <c r="A3671" s="0" t="s">
        <v>6595</v>
      </c>
      <c r="B3671" s="0" t="s">
        <v>6596</v>
      </c>
      <c r="C3671" s="5">
        <f>=HYPERLINK("https://nusmods.com/modules/UTW1001M#timetable","Timetable")</f>
      </c>
      <c r="D3671" s="5"/>
      <c r="E3671" s="5">
        <f>=HYPERLINK("https://luminus.nus.edu.sg/modules/cc51c12a-45bf-4587-ac5b-7d44e2c54ded","LumiNUS course site")</f>
      </c>
      <c r="F3671" s="0" t="s">
        <v>926</v>
      </c>
      <c r="G3671" s="0" t="s">
        <v>1288</v>
      </c>
      <c r="H3671" s="3">
        <v>39</v>
      </c>
    </row>
    <row r="3672">
      <c r="A3672" s="0" t="s">
        <v>6597</v>
      </c>
      <c r="B3672" s="0" t="s">
        <v>6598</v>
      </c>
      <c r="C3672" s="5">
        <f>=HYPERLINK("https://nusmods.com/modules/UTW1001O#timetable","Timetable")</f>
      </c>
      <c r="D3672" s="5">
        <f>=HYPERLINK("https://canvas.nus.edu.sg/courses/24915","Canvas course site")</f>
      </c>
      <c r="E3672" s="5"/>
      <c r="F3672" s="0" t="s">
        <v>926</v>
      </c>
      <c r="G3672" s="0" t="s">
        <v>1288</v>
      </c>
      <c r="H3672" s="3">
        <v>30</v>
      </c>
    </row>
    <row r="3673">
      <c r="A3673" s="0" t="s">
        <v>6599</v>
      </c>
      <c r="B3673" s="0" t="s">
        <v>6600</v>
      </c>
      <c r="C3673" s="5">
        <f>=HYPERLINK("https://nusmods.com/modules/UTW1001Z#timetable","Timetable")</f>
      </c>
      <c r="D3673" s="5"/>
      <c r="E3673" s="5">
        <f>=HYPERLINK("https://luminus.nus.edu.sg/modules/fcf2a7eb-31fd-4d8a-952f-d4a9afc542c4","LumiNUS course site")</f>
      </c>
      <c r="F3673" s="0" t="s">
        <v>926</v>
      </c>
      <c r="G3673" s="0" t="s">
        <v>1288</v>
      </c>
      <c r="H3673" s="3">
        <v>31</v>
      </c>
    </row>
    <row r="3674">
      <c r="A3674" s="0" t="s">
        <v>6601</v>
      </c>
      <c r="B3674" s="0" t="s">
        <v>6602</v>
      </c>
      <c r="C3674" s="5">
        <f>=HYPERLINK("https://nusmods.com/modules/UTW2001H#timetable","Timetable")</f>
      </c>
      <c r="D3674" s="5"/>
      <c r="E3674" s="5">
        <f>=HYPERLINK("https://luminus.nus.edu.sg/modules/f554f348-f723-4bc8-874f-6f11e64d8613","LumiNUS course site")</f>
      </c>
      <c r="F3674" s="0" t="s">
        <v>926</v>
      </c>
      <c r="G3674" s="0" t="s">
        <v>1288</v>
      </c>
      <c r="H3674" s="3">
        <v>4</v>
      </c>
    </row>
    <row r="3675">
      <c r="A3675" s="0" t="s">
        <v>6603</v>
      </c>
      <c r="B3675" s="0" t="s">
        <v>6604</v>
      </c>
      <c r="C3675" s="5">
        <f>=HYPERLINK("https://nusmods.com/modules/VM5101#timetable","Timetable")</f>
      </c>
      <c r="D3675" s="5">
        <f>=HYPERLINK("https://canvas.nus.edu.sg/courses/24944","Canvas course site")</f>
      </c>
      <c r="E3675" s="5">
        <f>=HYPERLINK("https://luminus.nus.edu.sg/modules/4f210769-61b8-4a14-8dc2-3375ec9979ff","LumiNUS course site")</f>
      </c>
      <c r="F3675" s="0" t="s">
        <v>90</v>
      </c>
      <c r="G3675" s="0" t="s">
        <v>210</v>
      </c>
      <c r="H3675" s="3">
        <v>27</v>
      </c>
    </row>
    <row r="3676">
      <c r="A3676" s="0" t="s">
        <v>6605</v>
      </c>
      <c r="B3676" s="0" t="s">
        <v>6606</v>
      </c>
      <c r="C3676" s="5">
        <f>=HYPERLINK("https://nusmods.com/modules/VM5102#timetable","Timetable")</f>
      </c>
      <c r="D3676" s="5">
        <f>=HYPERLINK("https://canvas.nus.edu.sg/courses/24947","Canvas course site")</f>
      </c>
      <c r="E3676" s="5">
        <f>=HYPERLINK("https://luminus.nus.edu.sg/modules/ed37ec5a-6af1-41e4-a2c7-f465aff3063c","LumiNUS course site")</f>
      </c>
      <c r="F3676" s="0" t="s">
        <v>90</v>
      </c>
      <c r="G3676" s="0" t="s">
        <v>210</v>
      </c>
      <c r="H3676" s="3">
        <v>27</v>
      </c>
    </row>
    <row r="3677">
      <c r="A3677" s="0" t="s">
        <v>6607</v>
      </c>
      <c r="B3677" s="0" t="s">
        <v>6608</v>
      </c>
      <c r="C3677" s="5">
        <f>=HYPERLINK("https://nusmods.com/modules/VM5103#timetable","Timetable")</f>
      </c>
      <c r="D3677" s="5">
        <f>=HYPERLINK("https://canvas.nus.edu.sg/courses/24951","Canvas course site")</f>
      </c>
      <c r="E3677" s="5"/>
      <c r="F3677" s="0" t="s">
        <v>90</v>
      </c>
      <c r="G3677" s="0" t="s">
        <v>210</v>
      </c>
      <c r="H3677" s="3">
        <v>27</v>
      </c>
    </row>
    <row r="3678">
      <c r="A3678" s="0" t="s">
        <v>6609</v>
      </c>
      <c r="B3678" s="0" t="s">
        <v>6610</v>
      </c>
      <c r="C3678" s="5">
        <f>=HYPERLINK("https://nusmods.com/modules/VM5104#timetable","Timetable")</f>
      </c>
      <c r="D3678" s="5"/>
      <c r="E3678" s="5"/>
      <c r="F3678" s="0" t="s">
        <v>90</v>
      </c>
      <c r="G3678" s="0" t="s">
        <v>210</v>
      </c>
      <c r="H3678" s="3">
        <v>27</v>
      </c>
    </row>
    <row r="3679">
      <c r="A3679" s="0" t="s">
        <v>6611</v>
      </c>
      <c r="B3679" s="0" t="s">
        <v>6612</v>
      </c>
      <c r="C3679" s="5">
        <f>=HYPERLINK("https://nusmods.com/modules/XD3103#timetable","Timetable")</f>
      </c>
      <c r="D3679" s="5"/>
      <c r="E3679" s="5">
        <f>=HYPERLINK("https://luminus.nus.edu.sg/modules/177c1f66-4367-4dd8-b60e-a71768de514d","LumiNUS course site")</f>
      </c>
      <c r="F3679" s="0" t="s">
        <v>73</v>
      </c>
      <c r="G3679" s="0" t="s">
        <v>2382</v>
      </c>
      <c r="H3679" s="3">
        <v>30</v>
      </c>
    </row>
    <row r="3680">
      <c r="A3680" s="0" t="s">
        <v>6613</v>
      </c>
      <c r="B3680" s="0" t="s">
        <v>6614</v>
      </c>
      <c r="C3680" s="5">
        <f>=HYPERLINK("https://nusmods.com/modules/XFA4401#timetable","Timetable")</f>
      </c>
      <c r="D3680" s="5"/>
      <c r="E3680" s="5"/>
      <c r="F3680" s="0" t="s">
        <v>73</v>
      </c>
      <c r="G3680" s="0" t="s">
        <v>1735</v>
      </c>
      <c r="H3680" s="3">
        <v>0</v>
      </c>
    </row>
    <row r="3681">
      <c r="A3681" s="0" t="s">
        <v>6615</v>
      </c>
      <c r="B3681" s="0" t="s">
        <v>6616</v>
      </c>
      <c r="C3681" s="5">
        <f>=HYPERLINK("https://nusmods.com/modules/XFA4402#timetable","Timetable")</f>
      </c>
      <c r="D3681" s="5"/>
      <c r="E3681" s="5"/>
      <c r="F3681" s="0" t="s">
        <v>73</v>
      </c>
      <c r="G3681" s="0" t="s">
        <v>1735</v>
      </c>
      <c r="H3681" s="3">
        <v>1</v>
      </c>
    </row>
    <row r="3682">
      <c r="A3682" s="0" t="s">
        <v>6617</v>
      </c>
      <c r="B3682" s="0" t="s">
        <v>6616</v>
      </c>
      <c r="C3682" s="5">
        <f>=HYPERLINK("https://nusmods.com/modules/XFA4403#timetable","Timetable")</f>
      </c>
      <c r="D3682" s="5"/>
      <c r="E3682" s="5"/>
      <c r="F3682" s="0" t="s">
        <v>73</v>
      </c>
      <c r="G3682" s="0" t="s">
        <v>74</v>
      </c>
      <c r="H3682" s="3">
        <v>1</v>
      </c>
    </row>
    <row r="3683">
      <c r="A3683" s="0" t="s">
        <v>6618</v>
      </c>
      <c r="B3683" s="0" t="s">
        <v>6616</v>
      </c>
      <c r="C3683" s="5">
        <f>=HYPERLINK("https://nusmods.com/modules/XFA4405#timetable","Timetable")</f>
      </c>
      <c r="D3683" s="5"/>
      <c r="E3683" s="5"/>
      <c r="F3683" s="0" t="s">
        <v>73</v>
      </c>
      <c r="G3683" s="0" t="s">
        <v>5221</v>
      </c>
      <c r="H3683" s="3">
        <v>0</v>
      </c>
    </row>
    <row r="3684">
      <c r="A3684" s="0" t="s">
        <v>6619</v>
      </c>
      <c r="B3684" s="0" t="s">
        <v>6616</v>
      </c>
      <c r="C3684" s="5">
        <f>=HYPERLINK("https://nusmods.com/modules/XFA4408#timetable","Timetable")</f>
      </c>
      <c r="D3684" s="5"/>
      <c r="E3684" s="5"/>
      <c r="F3684" s="0" t="s">
        <v>73</v>
      </c>
      <c r="G3684" s="0" t="s">
        <v>1735</v>
      </c>
      <c r="H3684" s="3">
        <v>2</v>
      </c>
    </row>
    <row r="3685">
      <c r="A3685" s="0" t="s">
        <v>6620</v>
      </c>
      <c r="B3685" s="0" t="s">
        <v>6616</v>
      </c>
      <c r="C3685" s="5">
        <f>=HYPERLINK("https://nusmods.com/modules/XFB4001#timetable","Timetable")</f>
      </c>
      <c r="D3685" s="5"/>
      <c r="E3685" s="5"/>
      <c r="F3685" s="0" t="s">
        <v>28</v>
      </c>
      <c r="G3685" s="0" t="s">
        <v>233</v>
      </c>
      <c r="H3685" s="3">
        <v>0</v>
      </c>
    </row>
    <row r="3686">
      <c r="A3686" s="0" t="s">
        <v>6621</v>
      </c>
      <c r="B3686" s="0" t="s">
        <v>6622</v>
      </c>
      <c r="C3686" s="5">
        <f>=HYPERLINK("https://nusmods.com/modules/XFB4002#timetable","Timetable")</f>
      </c>
      <c r="D3686" s="5"/>
      <c r="E3686" s="5"/>
      <c r="F3686" s="0" t="s">
        <v>28</v>
      </c>
      <c r="G3686" s="0" t="s">
        <v>233</v>
      </c>
      <c r="H3686" s="3">
        <v>2</v>
      </c>
    </row>
    <row r="3687">
      <c r="A3687" s="0" t="s">
        <v>6623</v>
      </c>
      <c r="B3687" s="0" t="s">
        <v>6616</v>
      </c>
      <c r="C3687" s="5">
        <f>=HYPERLINK("https://nusmods.com/modules/XFC4101#timetable","Timetable")</f>
      </c>
      <c r="D3687" s="5"/>
      <c r="E3687" s="5"/>
      <c r="F3687" s="0" t="s">
        <v>724</v>
      </c>
      <c r="G3687" s="0" t="s">
        <v>1233</v>
      </c>
      <c r="H3687" s="3">
        <v>8</v>
      </c>
    </row>
    <row r="3688">
      <c r="A3688" s="0" t="s">
        <v>6624</v>
      </c>
      <c r="B3688" s="0" t="s">
        <v>6614</v>
      </c>
      <c r="C3688" s="5">
        <f>=HYPERLINK("https://nusmods.com/modules/XFE4401#timetable","Timetable")</f>
      </c>
      <c r="D3688" s="5"/>
      <c r="E3688" s="5"/>
      <c r="F3688" s="0" t="s">
        <v>10</v>
      </c>
      <c r="G3688" s="0" t="s">
        <v>263</v>
      </c>
      <c r="H3688" s="3">
        <v>3</v>
      </c>
    </row>
    <row r="3689">
      <c r="A3689" s="0" t="s">
        <v>6625</v>
      </c>
      <c r="B3689" s="0" t="s">
        <v>6614</v>
      </c>
      <c r="C3689" s="5">
        <f>=HYPERLINK("https://nusmods.com/modules/XFS4199M#timetable","Timetable")</f>
      </c>
      <c r="D3689" s="5"/>
      <c r="E3689" s="5"/>
      <c r="F3689" s="0" t="s">
        <v>266</v>
      </c>
      <c r="G3689" s="0" t="s">
        <v>1621</v>
      </c>
      <c r="H3689" s="3">
        <v>0</v>
      </c>
    </row>
    <row r="3690">
      <c r="A3690" s="0" t="s">
        <v>6626</v>
      </c>
      <c r="B3690" s="0" t="s">
        <v>6614</v>
      </c>
      <c r="C3690" s="5">
        <f>=HYPERLINK("https://nusmods.com/modules/XFS4199S#timetable","Timetable")</f>
      </c>
      <c r="D3690" s="5"/>
      <c r="E3690" s="5"/>
      <c r="F3690" s="0" t="s">
        <v>266</v>
      </c>
      <c r="G3690" s="0" t="s">
        <v>1616</v>
      </c>
      <c r="H3690" s="3">
        <v>0</v>
      </c>
    </row>
    <row r="3691">
      <c r="A3691" s="0" t="s">
        <v>6627</v>
      </c>
      <c r="B3691" s="0" t="s">
        <v>6628</v>
      </c>
      <c r="C3691" s="5">
        <f>=HYPERLINK("https://nusmods.com/modules/YCC2121#timetable","Timetable")</f>
      </c>
      <c r="D3691" s="5"/>
      <c r="E3691" s="5"/>
      <c r="F3691" s="0" t="s">
        <v>6629</v>
      </c>
      <c r="G3691" s="0" t="s">
        <v>6629</v>
      </c>
      <c r="H3691" s="3">
        <v>244</v>
      </c>
    </row>
    <row r="3692">
      <c r="A3692" s="0" t="s">
        <v>6630</v>
      </c>
      <c r="B3692" s="0" t="s">
        <v>6631</v>
      </c>
      <c r="C3692" s="5">
        <f>=HYPERLINK("https://nusmods.com/modules/YHU2202#timetable","Timetable")</f>
      </c>
      <c r="D3692" s="5"/>
      <c r="E3692" s="5"/>
      <c r="F3692" s="0" t="s">
        <v>6629</v>
      </c>
      <c r="G3692" s="0" t="s">
        <v>6629</v>
      </c>
      <c r="H3692" s="3">
        <v>18</v>
      </c>
    </row>
    <row r="3693">
      <c r="A3693" s="0" t="s">
        <v>6632</v>
      </c>
      <c r="B3693" s="0" t="s">
        <v>6633</v>
      </c>
      <c r="C3693" s="5">
        <f>=HYPERLINK("https://nusmods.com/modules/YHU2218#timetable","Timetable")</f>
      </c>
      <c r="D3693" s="5"/>
      <c r="E3693" s="5"/>
      <c r="F3693" s="0" t="s">
        <v>6629</v>
      </c>
      <c r="G3693" s="0" t="s">
        <v>6629</v>
      </c>
      <c r="H3693" s="3">
        <v>18</v>
      </c>
    </row>
    <row r="3694">
      <c r="A3694" s="0" t="s">
        <v>6634</v>
      </c>
      <c r="B3694" s="0" t="s">
        <v>6635</v>
      </c>
      <c r="C3694" s="5">
        <f>=HYPERLINK("https://nusmods.com/modules/YHU2232#timetable","Timetable")</f>
      </c>
      <c r="D3694" s="5"/>
      <c r="E3694" s="5"/>
      <c r="F3694" s="0" t="s">
        <v>6629</v>
      </c>
      <c r="G3694" s="0" t="s">
        <v>6629</v>
      </c>
      <c r="H3694" s="3">
        <v>15</v>
      </c>
    </row>
    <row r="3695">
      <c r="A3695" s="0" t="s">
        <v>6636</v>
      </c>
      <c r="B3695" s="0" t="s">
        <v>6637</v>
      </c>
      <c r="C3695" s="5">
        <f>=HYPERLINK("https://nusmods.com/modules/YHU2241#timetable","Timetable")</f>
      </c>
      <c r="D3695" s="5"/>
      <c r="E3695" s="5"/>
      <c r="F3695" s="0" t="s">
        <v>6629</v>
      </c>
      <c r="G3695" s="0" t="s">
        <v>6629</v>
      </c>
      <c r="H3695" s="3">
        <v>17</v>
      </c>
    </row>
    <row r="3696">
      <c r="A3696" s="0" t="s">
        <v>6638</v>
      </c>
      <c r="B3696" s="0" t="s">
        <v>6639</v>
      </c>
      <c r="C3696" s="5">
        <f>=HYPERLINK("https://nusmods.com/modules/YHU2292#timetable","Timetable")</f>
      </c>
      <c r="D3696" s="5"/>
      <c r="E3696" s="5"/>
      <c r="F3696" s="0" t="s">
        <v>6629</v>
      </c>
      <c r="G3696" s="0" t="s">
        <v>6629</v>
      </c>
      <c r="H3696" s="3">
        <v>19</v>
      </c>
    </row>
    <row r="3697">
      <c r="A3697" s="0" t="s">
        <v>6640</v>
      </c>
      <c r="B3697" s="0" t="s">
        <v>6641</v>
      </c>
      <c r="C3697" s="5">
        <f>=HYPERLINK("https://nusmods.com/modules/YHU2293#timetable","Timetable")</f>
      </c>
      <c r="D3697" s="5"/>
      <c r="E3697" s="5"/>
      <c r="F3697" s="0" t="s">
        <v>6629</v>
      </c>
      <c r="G3697" s="0" t="s">
        <v>6629</v>
      </c>
      <c r="H3697" s="3">
        <v>16</v>
      </c>
    </row>
    <row r="3698">
      <c r="A3698" s="0" t="s">
        <v>6642</v>
      </c>
      <c r="B3698" s="0" t="s">
        <v>6643</v>
      </c>
      <c r="C3698" s="5">
        <f>=HYPERLINK("https://nusmods.com/modules/YHU2302#timetable","Timetable")</f>
      </c>
      <c r="D3698" s="5"/>
      <c r="E3698" s="5"/>
      <c r="F3698" s="0" t="s">
        <v>6629</v>
      </c>
      <c r="G3698" s="0" t="s">
        <v>6629</v>
      </c>
      <c r="H3698" s="3">
        <v>8</v>
      </c>
    </row>
    <row r="3699">
      <c r="A3699" s="0" t="s">
        <v>6644</v>
      </c>
      <c r="B3699" s="0" t="s">
        <v>6645</v>
      </c>
      <c r="C3699" s="5">
        <f>=HYPERLINK("https://nusmods.com/modules/YHU2311#timetable","Timetable")</f>
      </c>
      <c r="D3699" s="5"/>
      <c r="E3699" s="5"/>
      <c r="F3699" s="0" t="s">
        <v>6629</v>
      </c>
      <c r="G3699" s="0" t="s">
        <v>6629</v>
      </c>
      <c r="H3699" s="3">
        <v>18</v>
      </c>
    </row>
    <row r="3700">
      <c r="A3700" s="0" t="s">
        <v>6646</v>
      </c>
      <c r="B3700" s="0" t="s">
        <v>6647</v>
      </c>
      <c r="C3700" s="5">
        <f>=HYPERLINK("https://nusmods.com/modules/YHU2315#timetable","Timetable")</f>
      </c>
      <c r="D3700" s="5"/>
      <c r="E3700" s="5"/>
      <c r="F3700" s="0" t="s">
        <v>6629</v>
      </c>
      <c r="G3700" s="0" t="s">
        <v>6629</v>
      </c>
      <c r="H3700" s="3">
        <v>19</v>
      </c>
    </row>
    <row r="3701">
      <c r="A3701" s="0" t="s">
        <v>6648</v>
      </c>
      <c r="B3701" s="0" t="s">
        <v>6649</v>
      </c>
      <c r="C3701" s="5">
        <f>=HYPERLINK("https://nusmods.com/modules/YHU2319#timetable","Timetable")</f>
      </c>
      <c r="D3701" s="5"/>
      <c r="E3701" s="5"/>
      <c r="F3701" s="0" t="s">
        <v>6629</v>
      </c>
      <c r="G3701" s="0" t="s">
        <v>6629</v>
      </c>
      <c r="H3701" s="3">
        <v>21</v>
      </c>
    </row>
    <row r="3702">
      <c r="A3702" s="0" t="s">
        <v>6650</v>
      </c>
      <c r="B3702" s="0" t="s">
        <v>6651</v>
      </c>
      <c r="C3702" s="5">
        <f>=HYPERLINK("https://nusmods.com/modules/YHU2320#timetable","Timetable")</f>
      </c>
      <c r="D3702" s="5">
        <f>=HYPERLINK("https://canvas.nus.edu.sg/courses/26666","Canvas course site")</f>
      </c>
      <c r="E3702" s="5"/>
      <c r="F3702" s="0" t="s">
        <v>6629</v>
      </c>
      <c r="G3702" s="0" t="s">
        <v>6629</v>
      </c>
      <c r="H3702" s="3">
        <v>15</v>
      </c>
    </row>
    <row r="3703">
      <c r="A3703" s="0" t="s">
        <v>6652</v>
      </c>
      <c r="B3703" s="0" t="s">
        <v>6653</v>
      </c>
      <c r="C3703" s="5">
        <f>=HYPERLINK("https://nusmods.com/modules/YHU2322#timetable","Timetable")</f>
      </c>
      <c r="D3703" s="5"/>
      <c r="E3703" s="5"/>
      <c r="F3703" s="0" t="s">
        <v>6629</v>
      </c>
      <c r="G3703" s="0" t="s">
        <v>6629</v>
      </c>
      <c r="H3703" s="3">
        <v>18</v>
      </c>
    </row>
    <row r="3704">
      <c r="A3704" s="0" t="s">
        <v>6654</v>
      </c>
      <c r="B3704" s="0" t="s">
        <v>6655</v>
      </c>
      <c r="C3704" s="5">
        <f>=HYPERLINK("https://nusmods.com/modules/YHU2335#timetable","Timetable")</f>
      </c>
      <c r="D3704" s="5"/>
      <c r="E3704" s="5"/>
      <c r="F3704" s="0" t="s">
        <v>6629</v>
      </c>
      <c r="G3704" s="0" t="s">
        <v>6629</v>
      </c>
      <c r="H3704" s="3">
        <v>11</v>
      </c>
    </row>
    <row r="3705">
      <c r="A3705" s="0" t="s">
        <v>6656</v>
      </c>
      <c r="B3705" s="0" t="s">
        <v>6657</v>
      </c>
      <c r="C3705" s="5">
        <f>=HYPERLINK("https://nusmods.com/modules/YHU2336#timetable","Timetable")</f>
      </c>
      <c r="D3705" s="5"/>
      <c r="E3705" s="5"/>
      <c r="F3705" s="0" t="s">
        <v>6629</v>
      </c>
      <c r="G3705" s="0" t="s">
        <v>6629</v>
      </c>
      <c r="H3705" s="3">
        <v>10</v>
      </c>
    </row>
    <row r="3706">
      <c r="A3706" s="0" t="s">
        <v>6658</v>
      </c>
      <c r="B3706" s="0" t="s">
        <v>6659</v>
      </c>
      <c r="C3706" s="5">
        <f>=HYPERLINK("https://nusmods.com/modules/YHU2337#timetable","Timetable")</f>
      </c>
      <c r="D3706" s="5"/>
      <c r="E3706" s="5"/>
      <c r="F3706" s="0" t="s">
        <v>6629</v>
      </c>
      <c r="G3706" s="0" t="s">
        <v>6629</v>
      </c>
      <c r="H3706" s="3">
        <v>13</v>
      </c>
    </row>
    <row r="3707">
      <c r="A3707" s="0" t="s">
        <v>6660</v>
      </c>
      <c r="B3707" s="0" t="s">
        <v>6661</v>
      </c>
      <c r="C3707" s="5">
        <f>=HYPERLINK("https://nusmods.com/modules/YHU2338#timetable","Timetable")</f>
      </c>
      <c r="D3707" s="5"/>
      <c r="E3707" s="5"/>
      <c r="F3707" s="0" t="s">
        <v>6629</v>
      </c>
      <c r="G3707" s="0" t="s">
        <v>6629</v>
      </c>
      <c r="H3707" s="3">
        <v>4</v>
      </c>
    </row>
    <row r="3708">
      <c r="A3708" s="0" t="s">
        <v>6662</v>
      </c>
      <c r="B3708" s="0" t="s">
        <v>6663</v>
      </c>
      <c r="C3708" s="5">
        <f>=HYPERLINK("https://nusmods.com/modules/YHU3221#timetable","Timetable")</f>
      </c>
      <c r="D3708" s="5"/>
      <c r="E3708" s="5"/>
      <c r="F3708" s="0" t="s">
        <v>6629</v>
      </c>
      <c r="G3708" s="0" t="s">
        <v>6629</v>
      </c>
      <c r="H3708" s="3">
        <v>17</v>
      </c>
    </row>
    <row r="3709">
      <c r="A3709" s="0" t="s">
        <v>6664</v>
      </c>
      <c r="B3709" s="0" t="s">
        <v>6665</v>
      </c>
      <c r="C3709" s="5">
        <f>=HYPERLINK("https://nusmods.com/modules/YHU3252#timetable","Timetable")</f>
      </c>
      <c r="D3709" s="5"/>
      <c r="E3709" s="5"/>
      <c r="F3709" s="0" t="s">
        <v>6629</v>
      </c>
      <c r="G3709" s="0" t="s">
        <v>6629</v>
      </c>
      <c r="H3709" s="3">
        <v>19</v>
      </c>
    </row>
    <row r="3710">
      <c r="A3710" s="0" t="s">
        <v>6666</v>
      </c>
      <c r="B3710" s="0" t="s">
        <v>6667</v>
      </c>
      <c r="C3710" s="5">
        <f>=HYPERLINK("https://nusmods.com/modules/YHU3271#timetable","Timetable")</f>
      </c>
      <c r="D3710" s="5"/>
      <c r="E3710" s="5"/>
      <c r="F3710" s="0" t="s">
        <v>6629</v>
      </c>
      <c r="G3710" s="0" t="s">
        <v>6629</v>
      </c>
      <c r="H3710" s="3">
        <v>6</v>
      </c>
    </row>
    <row r="3711">
      <c r="A3711" s="0" t="s">
        <v>6668</v>
      </c>
      <c r="B3711" s="0" t="s">
        <v>6669</v>
      </c>
      <c r="C3711" s="5">
        <f>=HYPERLINK("https://nusmods.com/modules/YHU3290#timetable","Timetable")</f>
      </c>
      <c r="D3711" s="5"/>
      <c r="E3711" s="5"/>
      <c r="F3711" s="0" t="s">
        <v>6629</v>
      </c>
      <c r="G3711" s="0" t="s">
        <v>6629</v>
      </c>
      <c r="H3711" s="3">
        <v>18</v>
      </c>
    </row>
    <row r="3712">
      <c r="A3712" s="0" t="s">
        <v>6670</v>
      </c>
      <c r="B3712" s="0" t="s">
        <v>6671</v>
      </c>
      <c r="C3712" s="5">
        <f>=HYPERLINK("https://nusmods.com/modules/YHU3317#timetable","Timetable")</f>
      </c>
      <c r="D3712" s="5"/>
      <c r="E3712" s="5"/>
      <c r="F3712" s="0" t="s">
        <v>6629</v>
      </c>
      <c r="G3712" s="0" t="s">
        <v>6629</v>
      </c>
      <c r="H3712" s="3">
        <v>18</v>
      </c>
    </row>
    <row r="3713">
      <c r="A3713" s="0" t="s">
        <v>6672</v>
      </c>
      <c r="B3713" s="0" t="s">
        <v>6673</v>
      </c>
      <c r="C3713" s="5">
        <f>=HYPERLINK("https://nusmods.com/modules/YHU3336#timetable","Timetable")</f>
      </c>
      <c r="D3713" s="5"/>
      <c r="E3713" s="5"/>
      <c r="F3713" s="0" t="s">
        <v>6629</v>
      </c>
      <c r="G3713" s="0" t="s">
        <v>6629</v>
      </c>
      <c r="H3713" s="3">
        <v>17</v>
      </c>
    </row>
    <row r="3714">
      <c r="A3714" s="0" t="s">
        <v>6674</v>
      </c>
      <c r="B3714" s="0" t="s">
        <v>6675</v>
      </c>
      <c r="C3714" s="5">
        <f>=HYPERLINK("https://nusmods.com/modules/YHU3355#timetable","Timetable")</f>
      </c>
      <c r="D3714" s="5"/>
      <c r="E3714" s="5"/>
      <c r="F3714" s="0" t="s">
        <v>6629</v>
      </c>
      <c r="G3714" s="0" t="s">
        <v>6629</v>
      </c>
      <c r="H3714" s="3">
        <v>5</v>
      </c>
    </row>
    <row r="3715">
      <c r="A3715" s="0" t="s">
        <v>6676</v>
      </c>
      <c r="B3715" s="0" t="s">
        <v>6677</v>
      </c>
      <c r="C3715" s="5">
        <f>=HYPERLINK("https://nusmods.com/modules/YHU3362#timetable","Timetable")</f>
      </c>
      <c r="D3715" s="5"/>
      <c r="E3715" s="5"/>
      <c r="F3715" s="0" t="s">
        <v>6629</v>
      </c>
      <c r="G3715" s="0" t="s">
        <v>6629</v>
      </c>
      <c r="H3715" s="3">
        <v>5</v>
      </c>
    </row>
    <row r="3716">
      <c r="A3716" s="0" t="s">
        <v>6678</v>
      </c>
      <c r="B3716" s="0" t="s">
        <v>6679</v>
      </c>
      <c r="C3716" s="5">
        <f>=HYPERLINK("https://nusmods.com/modules/YHU3363#timetable","Timetable")</f>
      </c>
      <c r="D3716" s="5"/>
      <c r="E3716" s="5"/>
      <c r="F3716" s="0" t="s">
        <v>6629</v>
      </c>
      <c r="G3716" s="0" t="s">
        <v>6629</v>
      </c>
      <c r="H3716" s="3">
        <v>14</v>
      </c>
    </row>
    <row r="3717">
      <c r="A3717" s="0" t="s">
        <v>6680</v>
      </c>
      <c r="B3717" s="0" t="s">
        <v>6681</v>
      </c>
      <c r="C3717" s="5">
        <f>=HYPERLINK("https://nusmods.com/modules/YHU3366#timetable","Timetable")</f>
      </c>
      <c r="D3717" s="5"/>
      <c r="E3717" s="5"/>
      <c r="F3717" s="0" t="s">
        <v>6629</v>
      </c>
      <c r="G3717" s="0" t="s">
        <v>6629</v>
      </c>
      <c r="H3717" s="3">
        <v>14</v>
      </c>
    </row>
    <row r="3718">
      <c r="A3718" s="0" t="s">
        <v>6682</v>
      </c>
      <c r="B3718" s="0" t="s">
        <v>6683</v>
      </c>
      <c r="C3718" s="5">
        <f>=HYPERLINK("https://nusmods.com/modules/YHU3368#timetable","Timetable")</f>
      </c>
      <c r="D3718" s="5">
        <f>=HYPERLINK("https://canvas.nus.edu.sg/courses/25094","Canvas course site")</f>
      </c>
      <c r="E3718" s="5"/>
      <c r="F3718" s="0" t="s">
        <v>6629</v>
      </c>
      <c r="G3718" s="0" t="s">
        <v>6629</v>
      </c>
      <c r="H3718" s="3">
        <v>3</v>
      </c>
    </row>
    <row r="3719">
      <c r="A3719" s="0" t="s">
        <v>6684</v>
      </c>
      <c r="B3719" s="0" t="s">
        <v>6685</v>
      </c>
      <c r="C3719" s="5">
        <f>=HYPERLINK("https://nusmods.com/modules/YHU3370#timetable","Timetable")</f>
      </c>
      <c r="D3719" s="5"/>
      <c r="E3719" s="5"/>
      <c r="F3719" s="0" t="s">
        <v>6629</v>
      </c>
      <c r="G3719" s="0" t="s">
        <v>6629</v>
      </c>
      <c r="H3719" s="3">
        <v>20</v>
      </c>
    </row>
    <row r="3720">
      <c r="A3720" s="0" t="s">
        <v>6686</v>
      </c>
      <c r="B3720" s="0" t="s">
        <v>6687</v>
      </c>
      <c r="C3720" s="5">
        <f>=HYPERLINK("https://nusmods.com/modules/YHU3371#timetable","Timetable")</f>
      </c>
      <c r="D3720" s="5">
        <f>=HYPERLINK("https://canvas.nus.edu.sg/courses/25103","Canvas course site")</f>
      </c>
      <c r="E3720" s="5"/>
      <c r="F3720" s="0" t="s">
        <v>6629</v>
      </c>
      <c r="G3720" s="0" t="s">
        <v>6629</v>
      </c>
      <c r="H3720" s="3">
        <v>6</v>
      </c>
    </row>
    <row r="3721">
      <c r="A3721" s="0" t="s">
        <v>6688</v>
      </c>
      <c r="B3721" s="0" t="s">
        <v>6689</v>
      </c>
      <c r="C3721" s="5">
        <f>=HYPERLINK("https://nusmods.com/modules/YHU3374#timetable","Timetable")</f>
      </c>
      <c r="D3721" s="5"/>
      <c r="E3721" s="5"/>
      <c r="F3721" s="0" t="s">
        <v>6629</v>
      </c>
      <c r="G3721" s="0" t="s">
        <v>6629</v>
      </c>
      <c r="H3721" s="3">
        <v>7</v>
      </c>
    </row>
    <row r="3722">
      <c r="A3722" s="0" t="s">
        <v>6690</v>
      </c>
      <c r="B3722" s="0" t="s">
        <v>6691</v>
      </c>
      <c r="C3722" s="5">
        <f>=HYPERLINK("https://nusmods.com/modules/YHU3375#timetable","Timetable")</f>
      </c>
      <c r="D3722" s="5"/>
      <c r="E3722" s="5"/>
      <c r="F3722" s="0" t="s">
        <v>6629</v>
      </c>
      <c r="G3722" s="0" t="s">
        <v>6629</v>
      </c>
      <c r="H3722" s="3">
        <v>9</v>
      </c>
    </row>
    <row r="3723">
      <c r="A3723" s="0" t="s">
        <v>6692</v>
      </c>
      <c r="B3723" s="0" t="s">
        <v>6693</v>
      </c>
      <c r="C3723" s="5">
        <f>=HYPERLINK("https://nusmods.com/modules/YHU3376#timetable","Timetable")</f>
      </c>
      <c r="D3723" s="5"/>
      <c r="E3723" s="5"/>
      <c r="F3723" s="0" t="s">
        <v>6629</v>
      </c>
      <c r="G3723" s="0" t="s">
        <v>6629</v>
      </c>
      <c r="H3723" s="3">
        <v>10</v>
      </c>
    </row>
    <row r="3724">
      <c r="A3724" s="0" t="s">
        <v>6694</v>
      </c>
      <c r="B3724" s="0" t="s">
        <v>6695</v>
      </c>
      <c r="C3724" s="5">
        <f>=HYPERLINK("https://nusmods.com/modules/YHU3377#timetable","Timetable")</f>
      </c>
      <c r="D3724" s="5"/>
      <c r="E3724" s="5"/>
      <c r="F3724" s="0" t="s">
        <v>6629</v>
      </c>
      <c r="G3724" s="0" t="s">
        <v>6629</v>
      </c>
      <c r="H3724" s="3">
        <v>12</v>
      </c>
    </row>
    <row r="3725">
      <c r="A3725" s="0" t="s">
        <v>6696</v>
      </c>
      <c r="B3725" s="0" t="s">
        <v>6697</v>
      </c>
      <c r="C3725" s="5">
        <f>=HYPERLINK("https://nusmods.com/modules/YHU3378#timetable","Timetable")</f>
      </c>
      <c r="D3725" s="5"/>
      <c r="E3725" s="5"/>
      <c r="F3725" s="0" t="s">
        <v>6629</v>
      </c>
      <c r="G3725" s="0" t="s">
        <v>6629</v>
      </c>
      <c r="H3725" s="3">
        <v>4</v>
      </c>
    </row>
    <row r="3726">
      <c r="A3726" s="0" t="s">
        <v>6698</v>
      </c>
      <c r="B3726" s="0" t="s">
        <v>6699</v>
      </c>
      <c r="C3726" s="5">
        <f>=HYPERLINK("https://nusmods.com/modules/YHU3379#timetable","Timetable")</f>
      </c>
      <c r="D3726" s="5"/>
      <c r="E3726" s="5"/>
      <c r="F3726" s="0" t="s">
        <v>6629</v>
      </c>
      <c r="G3726" s="0" t="s">
        <v>6629</v>
      </c>
      <c r="H3726" s="3">
        <v>4</v>
      </c>
    </row>
    <row r="3727">
      <c r="A3727" s="0" t="s">
        <v>6700</v>
      </c>
      <c r="B3727" s="0" t="s">
        <v>6701</v>
      </c>
      <c r="C3727" s="5">
        <f>=HYPERLINK("https://nusmods.com/modules/YHU4101#timetable","Timetable")</f>
      </c>
      <c r="D3727" s="5"/>
      <c r="E3727" s="5"/>
      <c r="F3727" s="0" t="s">
        <v>6629</v>
      </c>
      <c r="G3727" s="0" t="s">
        <v>6629</v>
      </c>
      <c r="H3727" s="3">
        <v>11</v>
      </c>
    </row>
    <row r="3728">
      <c r="A3728" s="0" t="s">
        <v>6702</v>
      </c>
      <c r="B3728" s="0" t="s">
        <v>6703</v>
      </c>
      <c r="C3728" s="5">
        <f>=HYPERLINK("https://nusmods.com/modules/YHU4102#timetable","Timetable")</f>
      </c>
      <c r="D3728" s="5"/>
      <c r="E3728" s="5"/>
      <c r="F3728" s="0" t="s">
        <v>6629</v>
      </c>
      <c r="G3728" s="0" t="s">
        <v>6629</v>
      </c>
      <c r="H3728" s="3">
        <v>11</v>
      </c>
    </row>
    <row r="3729">
      <c r="A3729" s="0" t="s">
        <v>6704</v>
      </c>
      <c r="B3729" s="0" t="s">
        <v>6705</v>
      </c>
      <c r="C3729" s="5">
        <f>=HYPERLINK("https://nusmods.com/modules/YHU4103#timetable","Timetable")</f>
      </c>
      <c r="D3729" s="5"/>
      <c r="E3729" s="5"/>
      <c r="F3729" s="0" t="s">
        <v>6629</v>
      </c>
      <c r="G3729" s="0" t="s">
        <v>6629</v>
      </c>
      <c r="H3729" s="3">
        <v>6</v>
      </c>
    </row>
    <row r="3730">
      <c r="A3730" s="0" t="s">
        <v>6706</v>
      </c>
      <c r="B3730" s="0" t="s">
        <v>6707</v>
      </c>
      <c r="C3730" s="5">
        <f>=HYPERLINK("https://nusmods.com/modules/YHU4104#timetable","Timetable")</f>
      </c>
      <c r="D3730" s="5"/>
      <c r="E3730" s="5"/>
      <c r="F3730" s="0" t="s">
        <v>6629</v>
      </c>
      <c r="G3730" s="0" t="s">
        <v>6629</v>
      </c>
      <c r="H3730" s="3">
        <v>8</v>
      </c>
    </row>
    <row r="3731">
      <c r="A3731" s="0" t="s">
        <v>6708</v>
      </c>
      <c r="B3731" s="0" t="s">
        <v>6709</v>
      </c>
      <c r="C3731" s="5">
        <f>=HYPERLINK("https://nusmods.com/modules/YHU4206#timetable","Timetable")</f>
      </c>
      <c r="D3731" s="5"/>
      <c r="E3731" s="5"/>
      <c r="F3731" s="0" t="s">
        <v>6629</v>
      </c>
      <c r="G3731" s="0" t="s">
        <v>6629</v>
      </c>
      <c r="H3731" s="3">
        <v>16</v>
      </c>
    </row>
    <row r="3732">
      <c r="A3732" s="0" t="s">
        <v>6710</v>
      </c>
      <c r="B3732" s="0" t="s">
        <v>6711</v>
      </c>
      <c r="C3732" s="5">
        <f>=HYPERLINK("https://nusmods.com/modules/YHU4214#timetable","Timetable")</f>
      </c>
      <c r="D3732" s="5"/>
      <c r="E3732" s="5"/>
      <c r="F3732" s="0" t="s">
        <v>6629</v>
      </c>
      <c r="G3732" s="0" t="s">
        <v>6629</v>
      </c>
      <c r="H3732" s="3">
        <v>6</v>
      </c>
    </row>
    <row r="3733">
      <c r="A3733" s="0" t="s">
        <v>6712</v>
      </c>
      <c r="B3733" s="0" t="s">
        <v>6713</v>
      </c>
      <c r="C3733" s="5">
        <f>=HYPERLINK("https://nusmods.com/modules/YHU4238#timetable","Timetable")</f>
      </c>
      <c r="D3733" s="5"/>
      <c r="E3733" s="5"/>
      <c r="F3733" s="0" t="s">
        <v>6629</v>
      </c>
      <c r="G3733" s="0" t="s">
        <v>6629</v>
      </c>
      <c r="H3733" s="3">
        <v>17</v>
      </c>
    </row>
    <row r="3734">
      <c r="A3734" s="0" t="s">
        <v>6714</v>
      </c>
      <c r="B3734" s="0" t="s">
        <v>6715</v>
      </c>
      <c r="C3734" s="5">
        <f>=HYPERLINK("https://nusmods.com/modules/YHU4244#timetable","Timetable")</f>
      </c>
      <c r="D3734" s="5"/>
      <c r="E3734" s="5"/>
      <c r="F3734" s="0" t="s">
        <v>6629</v>
      </c>
      <c r="G3734" s="0" t="s">
        <v>6629</v>
      </c>
      <c r="H3734" s="3">
        <v>9</v>
      </c>
    </row>
    <row r="3735">
      <c r="A3735" s="0" t="s">
        <v>6716</v>
      </c>
      <c r="B3735" s="0" t="s">
        <v>6717</v>
      </c>
      <c r="C3735" s="5">
        <f>=HYPERLINK("https://nusmods.com/modules/YHU4245#timetable","Timetable")</f>
      </c>
      <c r="D3735" s="5"/>
      <c r="E3735" s="5"/>
      <c r="F3735" s="0" t="s">
        <v>6629</v>
      </c>
      <c r="G3735" s="0" t="s">
        <v>6629</v>
      </c>
      <c r="H3735" s="3">
        <v>9</v>
      </c>
    </row>
    <row r="3736">
      <c r="A3736" s="0" t="s">
        <v>6718</v>
      </c>
      <c r="B3736" s="0" t="s">
        <v>6719</v>
      </c>
      <c r="C3736" s="5">
        <f>=HYPERLINK("https://nusmods.com/modules/YHU4255#timetable","Timetable")</f>
      </c>
      <c r="D3736" s="5"/>
      <c r="E3736" s="5"/>
      <c r="F3736" s="0" t="s">
        <v>6629</v>
      </c>
      <c r="G3736" s="0" t="s">
        <v>6629</v>
      </c>
      <c r="H3736" s="3">
        <v>8</v>
      </c>
    </row>
    <row r="3737">
      <c r="A3737" s="0" t="s">
        <v>6720</v>
      </c>
      <c r="B3737" s="0" t="s">
        <v>6721</v>
      </c>
      <c r="C3737" s="5">
        <f>=HYPERLINK("https://nusmods.com/modules/YHU4259#timetable","Timetable")</f>
      </c>
      <c r="D3737" s="5"/>
      <c r="E3737" s="5"/>
      <c r="F3737" s="0" t="s">
        <v>6629</v>
      </c>
      <c r="G3737" s="0" t="s">
        <v>6629</v>
      </c>
      <c r="H3737" s="3">
        <v>7</v>
      </c>
    </row>
    <row r="3738">
      <c r="A3738" s="0" t="s">
        <v>6722</v>
      </c>
      <c r="B3738" s="0" t="s">
        <v>6723</v>
      </c>
      <c r="C3738" s="5">
        <f>=HYPERLINK("https://nusmods.com/modules/YHU4260#timetable","Timetable")</f>
      </c>
      <c r="D3738" s="5"/>
      <c r="E3738" s="5"/>
      <c r="F3738" s="0" t="s">
        <v>6629</v>
      </c>
      <c r="G3738" s="0" t="s">
        <v>6629</v>
      </c>
      <c r="H3738" s="3">
        <v>6</v>
      </c>
    </row>
    <row r="3739">
      <c r="A3739" s="0" t="s">
        <v>6724</v>
      </c>
      <c r="B3739" s="0" t="s">
        <v>6725</v>
      </c>
      <c r="C3739" s="5">
        <f>=HYPERLINK("https://nusmods.com/modules/YID1201#timetable","Timetable")</f>
      </c>
      <c r="D3739" s="5"/>
      <c r="E3739" s="5"/>
      <c r="F3739" s="0" t="s">
        <v>6629</v>
      </c>
      <c r="G3739" s="0" t="s">
        <v>6629</v>
      </c>
      <c r="H3739" s="3">
        <v>39</v>
      </c>
    </row>
    <row r="3740">
      <c r="A3740" s="0" t="s">
        <v>6726</v>
      </c>
      <c r="B3740" s="0" t="s">
        <v>6727</v>
      </c>
      <c r="C3740" s="5">
        <f>=HYPERLINK("https://nusmods.com/modules/YID2214#timetable","Timetable")</f>
      </c>
      <c r="D3740" s="5"/>
      <c r="E3740" s="5"/>
      <c r="F3740" s="0" t="s">
        <v>6629</v>
      </c>
      <c r="G3740" s="0" t="s">
        <v>6629</v>
      </c>
      <c r="H3740" s="3">
        <v>18</v>
      </c>
    </row>
    <row r="3741">
      <c r="A3741" s="0" t="s">
        <v>6728</v>
      </c>
      <c r="B3741" s="0" t="s">
        <v>6729</v>
      </c>
      <c r="C3741" s="5">
        <f>=HYPERLINK("https://nusmods.com/modules/YID2216#timetable","Timetable")</f>
      </c>
      <c r="D3741" s="5"/>
      <c r="E3741" s="5"/>
      <c r="F3741" s="0" t="s">
        <v>6629</v>
      </c>
      <c r="G3741" s="0" t="s">
        <v>6629</v>
      </c>
      <c r="H3741" s="3">
        <v>15</v>
      </c>
    </row>
    <row r="3742">
      <c r="A3742" s="0" t="s">
        <v>6730</v>
      </c>
      <c r="B3742" s="0" t="s">
        <v>6731</v>
      </c>
      <c r="C3742" s="5">
        <f>=HYPERLINK("https://nusmods.com/modules/YID3202H#timetable","Timetable")</f>
      </c>
      <c r="D3742" s="5"/>
      <c r="E3742" s="5"/>
      <c r="F3742" s="0" t="s">
        <v>6629</v>
      </c>
      <c r="G3742" s="0" t="s">
        <v>6629</v>
      </c>
      <c r="H3742" s="3">
        <v>18</v>
      </c>
    </row>
    <row r="3743">
      <c r="A3743" s="0" t="s">
        <v>6732</v>
      </c>
      <c r="B3743" s="0" t="s">
        <v>6733</v>
      </c>
      <c r="C3743" s="5">
        <f>=HYPERLINK("https://nusmods.com/modules/YID3211#timetable","Timetable")</f>
      </c>
      <c r="D3743" s="5"/>
      <c r="E3743" s="5"/>
      <c r="F3743" s="0" t="s">
        <v>6629</v>
      </c>
      <c r="G3743" s="0" t="s">
        <v>6629</v>
      </c>
      <c r="H3743" s="3">
        <v>16</v>
      </c>
    </row>
    <row r="3744">
      <c r="A3744" s="0" t="s">
        <v>6734</v>
      </c>
      <c r="B3744" s="0" t="s">
        <v>6735</v>
      </c>
      <c r="C3744" s="5">
        <f>=HYPERLINK("https://nusmods.com/modules/YID3222#timetable","Timetable")</f>
      </c>
      <c r="D3744" s="5"/>
      <c r="E3744" s="5"/>
      <c r="F3744" s="0" t="s">
        <v>6629</v>
      </c>
      <c r="G3744" s="0" t="s">
        <v>6629</v>
      </c>
      <c r="H3744" s="3">
        <v>6</v>
      </c>
    </row>
    <row r="3745">
      <c r="A3745" s="0" t="s">
        <v>6736</v>
      </c>
      <c r="B3745" s="0" t="s">
        <v>6737</v>
      </c>
      <c r="C3745" s="5">
        <f>=HYPERLINK("https://nusmods.com/modules/YID3223#timetable","Timetable")</f>
      </c>
      <c r="D3745" s="5"/>
      <c r="E3745" s="5"/>
      <c r="F3745" s="0" t="s">
        <v>6629</v>
      </c>
      <c r="G3745" s="0" t="s">
        <v>6629</v>
      </c>
      <c r="H3745" s="3">
        <v>11</v>
      </c>
    </row>
    <row r="3746">
      <c r="A3746" s="0" t="s">
        <v>6738</v>
      </c>
      <c r="B3746" s="0" t="s">
        <v>6739</v>
      </c>
      <c r="C3746" s="5">
        <f>=HYPERLINK("https://nusmods.com/modules/YID3226#timetable","Timetable")</f>
      </c>
      <c r="D3746" s="5"/>
      <c r="E3746" s="5"/>
      <c r="F3746" s="0" t="s">
        <v>6629</v>
      </c>
      <c r="G3746" s="0" t="s">
        <v>6629</v>
      </c>
      <c r="H3746" s="3">
        <v>10</v>
      </c>
    </row>
    <row r="3747">
      <c r="A3747" s="0" t="s">
        <v>6740</v>
      </c>
      <c r="B3747" s="0" t="s">
        <v>6741</v>
      </c>
      <c r="C3747" s="5">
        <f>=HYPERLINK("https://nusmods.com/modules/YID3227#timetable","Timetable")</f>
      </c>
      <c r="D3747" s="5">
        <f>=HYPERLINK("https://canvas.nus.edu.sg/courses/27345","Canvas course site")</f>
      </c>
      <c r="E3747" s="5"/>
      <c r="F3747" s="0" t="s">
        <v>6629</v>
      </c>
      <c r="G3747" s="0" t="s">
        <v>6629</v>
      </c>
      <c r="H3747" s="3">
        <v>3</v>
      </c>
    </row>
    <row r="3748">
      <c r="A3748" s="0" t="s">
        <v>6742</v>
      </c>
      <c r="B3748" s="0" t="s">
        <v>6743</v>
      </c>
      <c r="C3748" s="5">
        <f>=HYPERLINK("https://nusmods.com/modules/YID3228#timetable","Timetable")</f>
      </c>
      <c r="D3748" s="5"/>
      <c r="E3748" s="5"/>
      <c r="F3748" s="0" t="s">
        <v>6629</v>
      </c>
      <c r="G3748" s="0" t="s">
        <v>6629</v>
      </c>
      <c r="H3748" s="3">
        <v>17</v>
      </c>
    </row>
    <row r="3749">
      <c r="A3749" s="0" t="s">
        <v>6744</v>
      </c>
      <c r="B3749" s="0" t="s">
        <v>6745</v>
      </c>
      <c r="C3749" s="5">
        <f>=HYPERLINK("https://nusmods.com/modules/YID4101#timetable","Timetable")</f>
      </c>
      <c r="D3749" s="5"/>
      <c r="E3749" s="5"/>
      <c r="F3749" s="0" t="s">
        <v>6629</v>
      </c>
      <c r="G3749" s="0" t="s">
        <v>6629</v>
      </c>
      <c r="H3749" s="3">
        <v>18</v>
      </c>
    </row>
    <row r="3750">
      <c r="A3750" s="0" t="s">
        <v>6746</v>
      </c>
      <c r="B3750" s="0" t="s">
        <v>6747</v>
      </c>
      <c r="C3750" s="5">
        <f>=HYPERLINK("https://nusmods.com/modules/YID4202#timetable","Timetable")</f>
      </c>
      <c r="D3750" s="5"/>
      <c r="E3750" s="5"/>
      <c r="F3750" s="0" t="s">
        <v>6629</v>
      </c>
      <c r="G3750" s="0" t="s">
        <v>6629</v>
      </c>
      <c r="H3750" s="3">
        <v>2</v>
      </c>
    </row>
    <row r="3751">
      <c r="A3751" s="0" t="s">
        <v>6748</v>
      </c>
      <c r="B3751" s="0" t="s">
        <v>6749</v>
      </c>
      <c r="C3751" s="5">
        <f>=HYPERLINK("https://nusmods.com/modules/YIR3301#timetable","Timetable")</f>
      </c>
      <c r="D3751" s="5"/>
      <c r="E3751" s="5"/>
      <c r="F3751" s="0" t="s">
        <v>6629</v>
      </c>
      <c r="G3751" s="0" t="s">
        <v>6629</v>
      </c>
      <c r="H3751" s="3">
        <v>1</v>
      </c>
    </row>
    <row r="3752">
      <c r="A3752" s="0" t="s">
        <v>6750</v>
      </c>
      <c r="B3752" s="0" t="s">
        <v>6749</v>
      </c>
      <c r="C3752" s="5">
        <f>=HYPERLINK("https://nusmods.com/modules/YIR3301G#timetable","Timetable")</f>
      </c>
      <c r="D3752" s="5"/>
      <c r="E3752" s="5"/>
      <c r="F3752" s="0" t="s">
        <v>6629</v>
      </c>
      <c r="G3752" s="0" t="s">
        <v>6629</v>
      </c>
      <c r="H3752" s="3">
        <v>1</v>
      </c>
    </row>
    <row r="3753">
      <c r="A3753" s="0" t="s">
        <v>6751</v>
      </c>
      <c r="B3753" s="0" t="s">
        <v>6749</v>
      </c>
      <c r="C3753" s="5">
        <f>=HYPERLINK("https://nusmods.com/modules/YIR3302#timetable","Timetable")</f>
      </c>
      <c r="D3753" s="5"/>
      <c r="E3753" s="5"/>
      <c r="F3753" s="0" t="s">
        <v>6629</v>
      </c>
      <c r="G3753" s="0" t="s">
        <v>6629</v>
      </c>
      <c r="H3753" s="3">
        <v>1</v>
      </c>
    </row>
    <row r="3754">
      <c r="A3754" s="0" t="s">
        <v>6752</v>
      </c>
      <c r="B3754" s="0" t="s">
        <v>6749</v>
      </c>
      <c r="C3754" s="5">
        <f>=HYPERLINK("https://nusmods.com/modules/YIR3302G#timetable","Timetable")</f>
      </c>
      <c r="D3754" s="5"/>
      <c r="E3754" s="5"/>
      <c r="F3754" s="0" t="s">
        <v>6629</v>
      </c>
      <c r="G3754" s="0" t="s">
        <v>6629</v>
      </c>
      <c r="H3754" s="3">
        <v>1</v>
      </c>
    </row>
    <row r="3755">
      <c r="A3755" s="0" t="s">
        <v>6753</v>
      </c>
      <c r="B3755" s="0" t="s">
        <v>6749</v>
      </c>
      <c r="C3755" s="5">
        <f>=HYPERLINK("https://nusmods.com/modules/YIR3303#timetable","Timetable")</f>
      </c>
      <c r="D3755" s="5"/>
      <c r="E3755" s="5"/>
      <c r="F3755" s="0" t="s">
        <v>6629</v>
      </c>
      <c r="G3755" s="0" t="s">
        <v>6629</v>
      </c>
      <c r="H3755" s="3">
        <v>1</v>
      </c>
    </row>
    <row r="3756">
      <c r="A3756" s="0" t="s">
        <v>6754</v>
      </c>
      <c r="B3756" s="0" t="s">
        <v>6749</v>
      </c>
      <c r="C3756" s="5">
        <f>=HYPERLINK("https://nusmods.com/modules/YIR3303G#timetable","Timetable")</f>
      </c>
      <c r="D3756" s="5"/>
      <c r="E3756" s="5"/>
      <c r="F3756" s="0" t="s">
        <v>6629</v>
      </c>
      <c r="G3756" s="0" t="s">
        <v>6629</v>
      </c>
      <c r="H3756" s="3">
        <v>1</v>
      </c>
    </row>
    <row r="3757">
      <c r="A3757" s="0" t="s">
        <v>6755</v>
      </c>
      <c r="B3757" s="0" t="s">
        <v>6749</v>
      </c>
      <c r="C3757" s="5">
        <f>=HYPERLINK("https://nusmods.com/modules/YIR3304#timetable","Timetable")</f>
      </c>
      <c r="D3757" s="5"/>
      <c r="E3757" s="5"/>
      <c r="F3757" s="0" t="s">
        <v>6629</v>
      </c>
      <c r="G3757" s="0" t="s">
        <v>6629</v>
      </c>
      <c r="H3757" s="3">
        <v>1</v>
      </c>
    </row>
    <row r="3758">
      <c r="A3758" s="0" t="s">
        <v>6756</v>
      </c>
      <c r="B3758" s="0" t="s">
        <v>6749</v>
      </c>
      <c r="C3758" s="5">
        <f>=HYPERLINK("https://nusmods.com/modules/YIR3304G#timetable","Timetable")</f>
      </c>
      <c r="D3758" s="5"/>
      <c r="E3758" s="5"/>
      <c r="F3758" s="0" t="s">
        <v>6629</v>
      </c>
      <c r="G3758" s="0" t="s">
        <v>6629</v>
      </c>
      <c r="H3758" s="3">
        <v>1</v>
      </c>
    </row>
    <row r="3759">
      <c r="A3759" s="0" t="s">
        <v>6757</v>
      </c>
      <c r="B3759" s="0" t="s">
        <v>6749</v>
      </c>
      <c r="C3759" s="5">
        <f>=HYPERLINK("https://nusmods.com/modules/YIR3305#timetable","Timetable")</f>
      </c>
      <c r="D3759" s="5"/>
      <c r="E3759" s="5"/>
      <c r="F3759" s="0" t="s">
        <v>6629</v>
      </c>
      <c r="G3759" s="0" t="s">
        <v>6629</v>
      </c>
      <c r="H3759" s="3">
        <v>1</v>
      </c>
    </row>
    <row r="3760">
      <c r="A3760" s="0" t="s">
        <v>6758</v>
      </c>
      <c r="B3760" s="0" t="s">
        <v>6749</v>
      </c>
      <c r="C3760" s="5">
        <f>=HYPERLINK("https://nusmods.com/modules/YIR3305G#timetable","Timetable")</f>
      </c>
      <c r="D3760" s="5"/>
      <c r="E3760" s="5"/>
      <c r="F3760" s="0" t="s">
        <v>6629</v>
      </c>
      <c r="G3760" s="0" t="s">
        <v>6629</v>
      </c>
      <c r="H3760" s="3">
        <v>1</v>
      </c>
    </row>
    <row r="3761">
      <c r="A3761" s="0" t="s">
        <v>6759</v>
      </c>
      <c r="B3761" s="0" t="s">
        <v>6749</v>
      </c>
      <c r="C3761" s="5">
        <f>=HYPERLINK("https://nusmods.com/modules/YIR3306#timetable","Timetable")</f>
      </c>
      <c r="D3761" s="5"/>
      <c r="E3761" s="5"/>
      <c r="F3761" s="0" t="s">
        <v>6629</v>
      </c>
      <c r="G3761" s="0" t="s">
        <v>6629</v>
      </c>
      <c r="H3761" s="3">
        <v>1</v>
      </c>
    </row>
    <row r="3762">
      <c r="A3762" s="0" t="s">
        <v>6760</v>
      </c>
      <c r="B3762" s="0" t="s">
        <v>6749</v>
      </c>
      <c r="C3762" s="5">
        <f>=HYPERLINK("https://nusmods.com/modules/YIR3306G#timetable","Timetable")</f>
      </c>
      <c r="D3762" s="5"/>
      <c r="E3762" s="5"/>
      <c r="F3762" s="0" t="s">
        <v>6629</v>
      </c>
      <c r="G3762" s="0" t="s">
        <v>6629</v>
      </c>
      <c r="H3762" s="3">
        <v>2</v>
      </c>
    </row>
    <row r="3763">
      <c r="A3763" s="0" t="s">
        <v>6761</v>
      </c>
      <c r="B3763" s="0" t="s">
        <v>6749</v>
      </c>
      <c r="C3763" s="5">
        <f>=HYPERLINK("https://nusmods.com/modules/YIR3307#timetable","Timetable")</f>
      </c>
      <c r="D3763" s="5"/>
      <c r="E3763" s="5"/>
      <c r="F3763" s="0" t="s">
        <v>6629</v>
      </c>
      <c r="G3763" s="0" t="s">
        <v>6629</v>
      </c>
      <c r="H3763" s="3">
        <v>0</v>
      </c>
    </row>
    <row r="3764">
      <c r="A3764" s="0" t="s">
        <v>6762</v>
      </c>
      <c r="B3764" s="0" t="s">
        <v>6749</v>
      </c>
      <c r="C3764" s="5">
        <f>=HYPERLINK("https://nusmods.com/modules/YIR3307G#timetable","Timetable")</f>
      </c>
      <c r="D3764" s="5"/>
      <c r="E3764" s="5"/>
      <c r="F3764" s="0" t="s">
        <v>6629</v>
      </c>
      <c r="G3764" s="0" t="s">
        <v>6629</v>
      </c>
      <c r="H3764" s="3">
        <v>2</v>
      </c>
    </row>
    <row r="3765">
      <c r="A3765" s="0" t="s">
        <v>6763</v>
      </c>
      <c r="B3765" s="0" t="s">
        <v>6749</v>
      </c>
      <c r="C3765" s="5">
        <f>=HYPERLINK("https://nusmods.com/modules/YIR3308#timetable","Timetable")</f>
      </c>
      <c r="D3765" s="5"/>
      <c r="E3765" s="5"/>
      <c r="F3765" s="0" t="s">
        <v>6629</v>
      </c>
      <c r="G3765" s="0" t="s">
        <v>6629</v>
      </c>
      <c r="H3765" s="3">
        <v>1</v>
      </c>
    </row>
    <row r="3766">
      <c r="A3766" s="0" t="s">
        <v>6764</v>
      </c>
      <c r="B3766" s="0" t="s">
        <v>6749</v>
      </c>
      <c r="C3766" s="5">
        <f>=HYPERLINK("https://nusmods.com/modules/YIR3308G#timetable","Timetable")</f>
      </c>
      <c r="D3766" s="5"/>
      <c r="E3766" s="5"/>
      <c r="F3766" s="0" t="s">
        <v>6629</v>
      </c>
      <c r="G3766" s="0" t="s">
        <v>6629</v>
      </c>
      <c r="H3766" s="3">
        <v>1</v>
      </c>
    </row>
    <row r="3767">
      <c r="A3767" s="0" t="s">
        <v>6765</v>
      </c>
      <c r="B3767" s="0" t="s">
        <v>6749</v>
      </c>
      <c r="C3767" s="5">
        <f>=HYPERLINK("https://nusmods.com/modules/YIR3309#timetable","Timetable")</f>
      </c>
      <c r="D3767" s="5"/>
      <c r="E3767" s="5"/>
      <c r="F3767" s="0" t="s">
        <v>6629</v>
      </c>
      <c r="G3767" s="0" t="s">
        <v>6629</v>
      </c>
      <c r="H3767" s="3">
        <v>0</v>
      </c>
    </row>
    <row r="3768">
      <c r="A3768" s="0" t="s">
        <v>6766</v>
      </c>
      <c r="B3768" s="0" t="s">
        <v>6749</v>
      </c>
      <c r="C3768" s="5">
        <f>=HYPERLINK("https://nusmods.com/modules/YIR3309G#timetable","Timetable")</f>
      </c>
      <c r="D3768" s="5"/>
      <c r="E3768" s="5"/>
      <c r="F3768" s="0" t="s">
        <v>6629</v>
      </c>
      <c r="G3768" s="0" t="s">
        <v>6629</v>
      </c>
      <c r="H3768" s="3">
        <v>1</v>
      </c>
    </row>
    <row r="3769">
      <c r="A3769" s="0" t="s">
        <v>6767</v>
      </c>
      <c r="B3769" s="0" t="s">
        <v>6749</v>
      </c>
      <c r="C3769" s="5">
        <f>=HYPERLINK("https://nusmods.com/modules/YIR3310#timetable","Timetable")</f>
      </c>
      <c r="D3769" s="5"/>
      <c r="E3769" s="5"/>
      <c r="F3769" s="0" t="s">
        <v>6629</v>
      </c>
      <c r="G3769" s="0" t="s">
        <v>6629</v>
      </c>
      <c r="H3769" s="3">
        <v>0</v>
      </c>
    </row>
    <row r="3770">
      <c r="A3770" s="0" t="s">
        <v>6768</v>
      </c>
      <c r="B3770" s="0" t="s">
        <v>6749</v>
      </c>
      <c r="C3770" s="5">
        <f>=HYPERLINK("https://nusmods.com/modules/YIR3310G#timetable","Timetable")</f>
      </c>
      <c r="D3770" s="5"/>
      <c r="E3770" s="5"/>
      <c r="F3770" s="0" t="s">
        <v>6629</v>
      </c>
      <c r="G3770" s="0" t="s">
        <v>6629</v>
      </c>
      <c r="H3770" s="3">
        <v>1</v>
      </c>
    </row>
    <row r="3771">
      <c r="A3771" s="0" t="s">
        <v>6769</v>
      </c>
      <c r="B3771" s="0" t="s">
        <v>6749</v>
      </c>
      <c r="C3771" s="5">
        <f>=HYPERLINK("https://nusmods.com/modules/YIR3311#timetable","Timetable")</f>
      </c>
      <c r="D3771" s="5"/>
      <c r="E3771" s="5"/>
      <c r="F3771" s="0" t="s">
        <v>6629</v>
      </c>
      <c r="G3771" s="0" t="s">
        <v>6629</v>
      </c>
      <c r="H3771" s="3">
        <v>0</v>
      </c>
    </row>
    <row r="3772">
      <c r="A3772" s="0" t="s">
        <v>6770</v>
      </c>
      <c r="B3772" s="0" t="s">
        <v>6749</v>
      </c>
      <c r="C3772" s="5">
        <f>=HYPERLINK("https://nusmods.com/modules/YIR3311G#timetable","Timetable")</f>
      </c>
      <c r="D3772" s="5"/>
      <c r="E3772" s="5"/>
      <c r="F3772" s="0" t="s">
        <v>6629</v>
      </c>
      <c r="G3772" s="0" t="s">
        <v>6629</v>
      </c>
      <c r="H3772" s="3">
        <v>0</v>
      </c>
    </row>
    <row r="3773">
      <c r="A3773" s="0" t="s">
        <v>6771</v>
      </c>
      <c r="B3773" s="0" t="s">
        <v>6749</v>
      </c>
      <c r="C3773" s="5">
        <f>=HYPERLINK("https://nusmods.com/modules/YIR3312#timetable","Timetable")</f>
      </c>
      <c r="D3773" s="5"/>
      <c r="E3773" s="5"/>
      <c r="F3773" s="0" t="s">
        <v>6629</v>
      </c>
      <c r="G3773" s="0" t="s">
        <v>6629</v>
      </c>
      <c r="H3773" s="3">
        <v>0</v>
      </c>
    </row>
    <row r="3774">
      <c r="A3774" s="0" t="s">
        <v>6772</v>
      </c>
      <c r="B3774" s="0" t="s">
        <v>6749</v>
      </c>
      <c r="C3774" s="5">
        <f>=HYPERLINK("https://nusmods.com/modules/YIR3312G#timetable","Timetable")</f>
      </c>
      <c r="D3774" s="5"/>
      <c r="E3774" s="5"/>
      <c r="F3774" s="0" t="s">
        <v>6629</v>
      </c>
      <c r="G3774" s="0" t="s">
        <v>6629</v>
      </c>
      <c r="H3774" s="3">
        <v>0</v>
      </c>
    </row>
    <row r="3775">
      <c r="A3775" s="0" t="s">
        <v>6773</v>
      </c>
      <c r="B3775" s="0" t="s">
        <v>6749</v>
      </c>
      <c r="C3775" s="5">
        <f>=HYPERLINK("https://nusmods.com/modules/YIR3313#timetable","Timetable")</f>
      </c>
      <c r="D3775" s="5"/>
      <c r="E3775" s="5"/>
      <c r="F3775" s="0" t="s">
        <v>6629</v>
      </c>
      <c r="G3775" s="0" t="s">
        <v>6629</v>
      </c>
      <c r="H3775" s="3">
        <v>0</v>
      </c>
    </row>
    <row r="3776">
      <c r="A3776" s="0" t="s">
        <v>6774</v>
      </c>
      <c r="B3776" s="0" t="s">
        <v>6749</v>
      </c>
      <c r="C3776" s="5">
        <f>=HYPERLINK("https://nusmods.com/modules/YIR3313G#timetable","Timetable")</f>
      </c>
      <c r="D3776" s="5"/>
      <c r="E3776" s="5"/>
      <c r="F3776" s="0" t="s">
        <v>6629</v>
      </c>
      <c r="G3776" s="0" t="s">
        <v>6629</v>
      </c>
      <c r="H3776" s="3">
        <v>0</v>
      </c>
    </row>
    <row r="3777">
      <c r="A3777" s="0" t="s">
        <v>6775</v>
      </c>
      <c r="B3777" s="0" t="s">
        <v>6749</v>
      </c>
      <c r="C3777" s="5">
        <f>=HYPERLINK("https://nusmods.com/modules/YIR3314#timetable","Timetable")</f>
      </c>
      <c r="D3777" s="5"/>
      <c r="E3777" s="5"/>
      <c r="F3777" s="0" t="s">
        <v>6629</v>
      </c>
      <c r="G3777" s="0" t="s">
        <v>6629</v>
      </c>
      <c r="H3777" s="3">
        <v>0</v>
      </c>
    </row>
    <row r="3778">
      <c r="A3778" s="0" t="s">
        <v>6776</v>
      </c>
      <c r="B3778" s="0" t="s">
        <v>6749</v>
      </c>
      <c r="C3778" s="5">
        <f>=HYPERLINK("https://nusmods.com/modules/YIR3314G#timetable","Timetable")</f>
      </c>
      <c r="D3778" s="5"/>
      <c r="E3778" s="5"/>
      <c r="F3778" s="0" t="s">
        <v>6629</v>
      </c>
      <c r="G3778" s="0" t="s">
        <v>6629</v>
      </c>
      <c r="H3778" s="3">
        <v>0</v>
      </c>
    </row>
    <row r="3779">
      <c r="A3779" s="0" t="s">
        <v>6777</v>
      </c>
      <c r="B3779" s="0" t="s">
        <v>6749</v>
      </c>
      <c r="C3779" s="5">
        <f>=HYPERLINK("https://nusmods.com/modules/YIR3315#timetable","Timetable")</f>
      </c>
      <c r="D3779" s="5"/>
      <c r="E3779" s="5"/>
      <c r="F3779" s="0" t="s">
        <v>6629</v>
      </c>
      <c r="G3779" s="0" t="s">
        <v>6629</v>
      </c>
      <c r="H3779" s="3">
        <v>0</v>
      </c>
    </row>
    <row r="3780">
      <c r="A3780" s="0" t="s">
        <v>6778</v>
      </c>
      <c r="B3780" s="0" t="s">
        <v>6749</v>
      </c>
      <c r="C3780" s="5">
        <f>=HYPERLINK("https://nusmods.com/modules/YIR3315G#timetable","Timetable")</f>
      </c>
      <c r="D3780" s="5"/>
      <c r="E3780" s="5"/>
      <c r="F3780" s="0" t="s">
        <v>6629</v>
      </c>
      <c r="G3780" s="0" t="s">
        <v>6629</v>
      </c>
      <c r="H3780" s="3">
        <v>0</v>
      </c>
    </row>
    <row r="3781">
      <c r="A3781" s="0" t="s">
        <v>6779</v>
      </c>
      <c r="B3781" s="0" t="s">
        <v>6749</v>
      </c>
      <c r="C3781" s="5">
        <f>=HYPERLINK("https://nusmods.com/modules/YIR3316#timetable","Timetable")</f>
      </c>
      <c r="D3781" s="5"/>
      <c r="E3781" s="5"/>
      <c r="F3781" s="0" t="s">
        <v>6629</v>
      </c>
      <c r="G3781" s="0" t="s">
        <v>6629</v>
      </c>
      <c r="H3781" s="3">
        <v>0</v>
      </c>
    </row>
    <row r="3782">
      <c r="A3782" s="0" t="s">
        <v>6780</v>
      </c>
      <c r="B3782" s="0" t="s">
        <v>6749</v>
      </c>
      <c r="C3782" s="5">
        <f>=HYPERLINK("https://nusmods.com/modules/YIR3316G#timetable","Timetable")</f>
      </c>
      <c r="D3782" s="5"/>
      <c r="E3782" s="5"/>
      <c r="F3782" s="0" t="s">
        <v>6629</v>
      </c>
      <c r="G3782" s="0" t="s">
        <v>6629</v>
      </c>
      <c r="H3782" s="3">
        <v>0</v>
      </c>
    </row>
    <row r="3783">
      <c r="A3783" s="0" t="s">
        <v>6781</v>
      </c>
      <c r="B3783" s="0" t="s">
        <v>6749</v>
      </c>
      <c r="C3783" s="5">
        <f>=HYPERLINK("https://nusmods.com/modules/YIR3317#timetable","Timetable")</f>
      </c>
      <c r="D3783" s="5"/>
      <c r="E3783" s="5"/>
      <c r="F3783" s="0" t="s">
        <v>6629</v>
      </c>
      <c r="G3783" s="0" t="s">
        <v>6629</v>
      </c>
      <c r="H3783" s="3">
        <v>0</v>
      </c>
    </row>
    <row r="3784">
      <c r="A3784" s="0" t="s">
        <v>6782</v>
      </c>
      <c r="B3784" s="0" t="s">
        <v>6749</v>
      </c>
      <c r="C3784" s="5">
        <f>=HYPERLINK("https://nusmods.com/modules/YIR3317G#timetable","Timetable")</f>
      </c>
      <c r="D3784" s="5"/>
      <c r="E3784" s="5"/>
      <c r="F3784" s="0" t="s">
        <v>6629</v>
      </c>
      <c r="G3784" s="0" t="s">
        <v>6629</v>
      </c>
      <c r="H3784" s="3">
        <v>0</v>
      </c>
    </row>
    <row r="3785">
      <c r="A3785" s="0" t="s">
        <v>6783</v>
      </c>
      <c r="B3785" s="0" t="s">
        <v>6749</v>
      </c>
      <c r="C3785" s="5">
        <f>=HYPERLINK("https://nusmods.com/modules/YIR3318#timetable","Timetable")</f>
      </c>
      <c r="D3785" s="5"/>
      <c r="E3785" s="5"/>
      <c r="F3785" s="0" t="s">
        <v>6629</v>
      </c>
      <c r="G3785" s="0" t="s">
        <v>6629</v>
      </c>
      <c r="H3785" s="3">
        <v>0</v>
      </c>
    </row>
    <row r="3786">
      <c r="A3786" s="0" t="s">
        <v>6784</v>
      </c>
      <c r="B3786" s="0" t="s">
        <v>6749</v>
      </c>
      <c r="C3786" s="5">
        <f>=HYPERLINK("https://nusmods.com/modules/YIR3318G#timetable","Timetable")</f>
      </c>
      <c r="D3786" s="5"/>
      <c r="E3786" s="5"/>
      <c r="F3786" s="0" t="s">
        <v>6629</v>
      </c>
      <c r="G3786" s="0" t="s">
        <v>6629</v>
      </c>
      <c r="H3786" s="3">
        <v>0</v>
      </c>
    </row>
    <row r="3787">
      <c r="A3787" s="0" t="s">
        <v>6785</v>
      </c>
      <c r="B3787" s="0" t="s">
        <v>6749</v>
      </c>
      <c r="C3787" s="5">
        <f>=HYPERLINK("https://nusmods.com/modules/YIR3319#timetable","Timetable")</f>
      </c>
      <c r="D3787" s="5"/>
      <c r="E3787" s="5"/>
      <c r="F3787" s="0" t="s">
        <v>6629</v>
      </c>
      <c r="G3787" s="0" t="s">
        <v>6629</v>
      </c>
      <c r="H3787" s="3">
        <v>0</v>
      </c>
    </row>
    <row r="3788">
      <c r="A3788" s="0" t="s">
        <v>6786</v>
      </c>
      <c r="B3788" s="0" t="s">
        <v>6749</v>
      </c>
      <c r="C3788" s="5">
        <f>=HYPERLINK("https://nusmods.com/modules/YIR3319G#timetable","Timetable")</f>
      </c>
      <c r="D3788" s="5"/>
      <c r="E3788" s="5"/>
      <c r="F3788" s="0" t="s">
        <v>6629</v>
      </c>
      <c r="G3788" s="0" t="s">
        <v>6629</v>
      </c>
      <c r="H3788" s="3">
        <v>0</v>
      </c>
    </row>
    <row r="3789">
      <c r="A3789" s="0" t="s">
        <v>6787</v>
      </c>
      <c r="B3789" s="0" t="s">
        <v>6788</v>
      </c>
      <c r="C3789" s="5">
        <f>=HYPERLINK("https://nusmods.com/modules/YIR3401#timetable","Timetable")</f>
      </c>
      <c r="D3789" s="5"/>
      <c r="E3789" s="5"/>
      <c r="F3789" s="0" t="s">
        <v>6629</v>
      </c>
      <c r="G3789" s="0" t="s">
        <v>6629</v>
      </c>
      <c r="H3789" s="3">
        <v>0</v>
      </c>
    </row>
    <row r="3790">
      <c r="A3790" s="0" t="s">
        <v>6789</v>
      </c>
      <c r="B3790" s="0" t="s">
        <v>6788</v>
      </c>
      <c r="C3790" s="5">
        <f>=HYPERLINK("https://nusmods.com/modules/YIR3401G#timetable","Timetable")</f>
      </c>
      <c r="D3790" s="5"/>
      <c r="E3790" s="5"/>
      <c r="F3790" s="0" t="s">
        <v>6629</v>
      </c>
      <c r="G3790" s="0" t="s">
        <v>6629</v>
      </c>
      <c r="H3790" s="3">
        <v>0</v>
      </c>
    </row>
    <row r="3791">
      <c r="A3791" s="0" t="s">
        <v>6790</v>
      </c>
      <c r="B3791" s="0" t="s">
        <v>6788</v>
      </c>
      <c r="C3791" s="5">
        <f>=HYPERLINK("https://nusmods.com/modules/YIR3402#timetable","Timetable")</f>
      </c>
      <c r="D3791" s="5"/>
      <c r="E3791" s="5"/>
      <c r="F3791" s="0" t="s">
        <v>6629</v>
      </c>
      <c r="G3791" s="0" t="s">
        <v>6629</v>
      </c>
      <c r="H3791" s="3">
        <v>0</v>
      </c>
    </row>
    <row r="3792">
      <c r="A3792" s="0" t="s">
        <v>6791</v>
      </c>
      <c r="B3792" s="0" t="s">
        <v>6788</v>
      </c>
      <c r="C3792" s="5">
        <f>=HYPERLINK("https://nusmods.com/modules/YIR3402G#timetable","Timetable")</f>
      </c>
      <c r="D3792" s="5"/>
      <c r="E3792" s="5"/>
      <c r="F3792" s="0" t="s">
        <v>6629</v>
      </c>
      <c r="G3792" s="0" t="s">
        <v>6629</v>
      </c>
      <c r="H3792" s="3">
        <v>0</v>
      </c>
    </row>
    <row r="3793">
      <c r="A3793" s="0" t="s">
        <v>6792</v>
      </c>
      <c r="B3793" s="0" t="s">
        <v>6793</v>
      </c>
      <c r="C3793" s="5">
        <f>=HYPERLINK("https://nusmods.com/modules/YIR4301#timetable","Timetable")</f>
      </c>
      <c r="D3793" s="5"/>
      <c r="E3793" s="5"/>
      <c r="F3793" s="0" t="s">
        <v>6629</v>
      </c>
      <c r="G3793" s="0" t="s">
        <v>6629</v>
      </c>
      <c r="H3793" s="3">
        <v>0</v>
      </c>
    </row>
    <row r="3794">
      <c r="A3794" s="0" t="s">
        <v>6794</v>
      </c>
      <c r="B3794" s="0" t="s">
        <v>6793</v>
      </c>
      <c r="C3794" s="5">
        <f>=HYPERLINK("https://nusmods.com/modules/YIR4301G#timetable","Timetable")</f>
      </c>
      <c r="D3794" s="5"/>
      <c r="E3794" s="5"/>
      <c r="F3794" s="0" t="s">
        <v>6629</v>
      </c>
      <c r="G3794" s="0" t="s">
        <v>6629</v>
      </c>
      <c r="H3794" s="3">
        <v>1</v>
      </c>
    </row>
    <row r="3795">
      <c r="A3795" s="0" t="s">
        <v>6795</v>
      </c>
      <c r="B3795" s="0" t="s">
        <v>6793</v>
      </c>
      <c r="C3795" s="5">
        <f>=HYPERLINK("https://nusmods.com/modules/YIR4302#timetable","Timetable")</f>
      </c>
      <c r="D3795" s="5"/>
      <c r="E3795" s="5"/>
      <c r="F3795" s="0" t="s">
        <v>6629</v>
      </c>
      <c r="G3795" s="0" t="s">
        <v>6629</v>
      </c>
      <c r="H3795" s="3">
        <v>0</v>
      </c>
    </row>
    <row r="3796">
      <c r="A3796" s="0" t="s">
        <v>6796</v>
      </c>
      <c r="B3796" s="0" t="s">
        <v>6793</v>
      </c>
      <c r="C3796" s="5">
        <f>=HYPERLINK("https://nusmods.com/modules/YIR4302G#timetable","Timetable")</f>
      </c>
      <c r="D3796" s="5"/>
      <c r="E3796" s="5"/>
      <c r="F3796" s="0" t="s">
        <v>6629</v>
      </c>
      <c r="G3796" s="0" t="s">
        <v>6629</v>
      </c>
      <c r="H3796" s="3">
        <v>1</v>
      </c>
    </row>
    <row r="3797">
      <c r="A3797" s="0" t="s">
        <v>6797</v>
      </c>
      <c r="B3797" s="0" t="s">
        <v>6793</v>
      </c>
      <c r="C3797" s="5">
        <f>=HYPERLINK("https://nusmods.com/modules/YIR4303#timetable","Timetable")</f>
      </c>
      <c r="D3797" s="5"/>
      <c r="E3797" s="5"/>
      <c r="F3797" s="0" t="s">
        <v>6629</v>
      </c>
      <c r="G3797" s="0" t="s">
        <v>6629</v>
      </c>
      <c r="H3797" s="3">
        <v>0</v>
      </c>
    </row>
    <row r="3798">
      <c r="A3798" s="0" t="s">
        <v>6798</v>
      </c>
      <c r="B3798" s="0" t="s">
        <v>6793</v>
      </c>
      <c r="C3798" s="5">
        <f>=HYPERLINK("https://nusmods.com/modules/YIR4303G#timetable","Timetable")</f>
      </c>
      <c r="D3798" s="5"/>
      <c r="E3798" s="5"/>
      <c r="F3798" s="0" t="s">
        <v>6629</v>
      </c>
      <c r="G3798" s="0" t="s">
        <v>6629</v>
      </c>
      <c r="H3798" s="3">
        <v>1</v>
      </c>
    </row>
    <row r="3799">
      <c r="A3799" s="0" t="s">
        <v>6799</v>
      </c>
      <c r="B3799" s="0" t="s">
        <v>6793</v>
      </c>
      <c r="C3799" s="5">
        <f>=HYPERLINK("https://nusmods.com/modules/YIR4304G#timetable","Timetable")</f>
      </c>
      <c r="D3799" s="5"/>
      <c r="E3799" s="5"/>
      <c r="F3799" s="0" t="s">
        <v>6629</v>
      </c>
      <c r="G3799" s="0" t="s">
        <v>6629</v>
      </c>
      <c r="H3799" s="3">
        <v>1</v>
      </c>
    </row>
    <row r="3800">
      <c r="A3800" s="0" t="s">
        <v>6800</v>
      </c>
      <c r="B3800" s="0" t="s">
        <v>6801</v>
      </c>
      <c r="C3800" s="5">
        <f>=HYPERLINK("https://nusmods.com/modules/YLC1202#timetable","Timetable")</f>
      </c>
      <c r="D3800" s="5"/>
      <c r="E3800" s="5"/>
      <c r="F3800" s="0" t="s">
        <v>6629</v>
      </c>
      <c r="G3800" s="0" t="s">
        <v>6629</v>
      </c>
      <c r="H3800" s="3">
        <v>6</v>
      </c>
    </row>
    <row r="3801">
      <c r="A3801" s="0" t="s">
        <v>6802</v>
      </c>
      <c r="B3801" s="0" t="s">
        <v>6803</v>
      </c>
      <c r="C3801" s="5">
        <f>=HYPERLINK("https://nusmods.com/modules/YLC2202#timetable","Timetable")</f>
      </c>
      <c r="D3801" s="5"/>
      <c r="E3801" s="5"/>
      <c r="F3801" s="0" t="s">
        <v>6629</v>
      </c>
      <c r="G3801" s="0" t="s">
        <v>6629</v>
      </c>
      <c r="H3801" s="3">
        <v>10</v>
      </c>
    </row>
    <row r="3802">
      <c r="A3802" s="0" t="s">
        <v>6804</v>
      </c>
      <c r="B3802" s="0" t="s">
        <v>6805</v>
      </c>
      <c r="C3802" s="5">
        <f>=HYPERLINK("https://nusmods.com/modules/YLC3204#timetable","Timetable")</f>
      </c>
      <c r="D3802" s="5"/>
      <c r="E3802" s="5"/>
      <c r="F3802" s="0" t="s">
        <v>6629</v>
      </c>
      <c r="G3802" s="0" t="s">
        <v>6629</v>
      </c>
      <c r="H3802" s="3">
        <v>7</v>
      </c>
    </row>
    <row r="3803">
      <c r="A3803" s="0" t="s">
        <v>6806</v>
      </c>
      <c r="B3803" s="0" t="s">
        <v>6807</v>
      </c>
      <c r="C3803" s="5">
        <f>=HYPERLINK("https://nusmods.com/modules/YLL2201#timetable","Timetable")</f>
      </c>
      <c r="D3803" s="5"/>
      <c r="E3803" s="5"/>
      <c r="F3803" s="0" t="s">
        <v>6629</v>
      </c>
      <c r="G3803" s="0" t="s">
        <v>6629</v>
      </c>
      <c r="H3803" s="3">
        <v>6</v>
      </c>
    </row>
    <row r="3804">
      <c r="A3804" s="0" t="s">
        <v>6808</v>
      </c>
      <c r="B3804" s="0" t="s">
        <v>6809</v>
      </c>
      <c r="C3804" s="5">
        <f>=HYPERLINK("https://nusmods.com/modules/YLS1202#timetable","Timetable")</f>
      </c>
      <c r="D3804" s="5"/>
      <c r="E3804" s="5"/>
      <c r="F3804" s="0" t="s">
        <v>6629</v>
      </c>
      <c r="G3804" s="0" t="s">
        <v>6629</v>
      </c>
      <c r="H3804" s="3">
        <v>8</v>
      </c>
    </row>
    <row r="3805">
      <c r="A3805" s="0" t="s">
        <v>6810</v>
      </c>
      <c r="B3805" s="0" t="s">
        <v>6811</v>
      </c>
      <c r="C3805" s="5">
        <f>=HYPERLINK("https://nusmods.com/modules/YSC1212#timetable","Timetable")</f>
      </c>
      <c r="D3805" s="5"/>
      <c r="E3805" s="5"/>
      <c r="F3805" s="0" t="s">
        <v>6629</v>
      </c>
      <c r="G3805" s="0" t="s">
        <v>6629</v>
      </c>
      <c r="H3805" s="3">
        <v>27</v>
      </c>
    </row>
    <row r="3806">
      <c r="A3806" s="0" t="s">
        <v>6812</v>
      </c>
      <c r="B3806" s="0" t="s">
        <v>6813</v>
      </c>
      <c r="C3806" s="5">
        <f>=HYPERLINK("https://nusmods.com/modules/YSC1213#timetable","Timetable")</f>
      </c>
      <c r="D3806" s="5"/>
      <c r="E3806" s="5"/>
      <c r="F3806" s="0" t="s">
        <v>6629</v>
      </c>
      <c r="G3806" s="0" t="s">
        <v>6629</v>
      </c>
      <c r="H3806" s="3">
        <v>6</v>
      </c>
    </row>
    <row r="3807">
      <c r="A3807" s="0" t="s">
        <v>6814</v>
      </c>
      <c r="B3807" s="0" t="s">
        <v>3912</v>
      </c>
      <c r="C3807" s="5">
        <f>=HYPERLINK("https://nusmods.com/modules/YSC1216#timetable","Timetable")</f>
      </c>
      <c r="D3807" s="5"/>
      <c r="E3807" s="5"/>
      <c r="F3807" s="0" t="s">
        <v>6629</v>
      </c>
      <c r="G3807" s="0" t="s">
        <v>6629</v>
      </c>
      <c r="H3807" s="3">
        <v>29</v>
      </c>
    </row>
    <row r="3808">
      <c r="A3808" s="0" t="s">
        <v>6815</v>
      </c>
      <c r="B3808" s="0" t="s">
        <v>6816</v>
      </c>
      <c r="C3808" s="5">
        <f>=HYPERLINK("https://nusmods.com/modules/YSC1219#timetable","Timetable")</f>
      </c>
      <c r="D3808" s="5"/>
      <c r="E3808" s="5"/>
      <c r="F3808" s="0" t="s">
        <v>6629</v>
      </c>
      <c r="G3808" s="0" t="s">
        <v>6629</v>
      </c>
      <c r="H3808" s="3">
        <v>18</v>
      </c>
    </row>
    <row r="3809">
      <c r="A3809" s="0" t="s">
        <v>6817</v>
      </c>
      <c r="B3809" s="0" t="s">
        <v>6818</v>
      </c>
      <c r="C3809" s="5">
        <f>=HYPERLINK("https://nusmods.com/modules/YSC1223#timetable","Timetable")</f>
      </c>
      <c r="D3809" s="5"/>
      <c r="E3809" s="5"/>
      <c r="F3809" s="0" t="s">
        <v>6629</v>
      </c>
      <c r="G3809" s="0" t="s">
        <v>6629</v>
      </c>
      <c r="H3809" s="3">
        <v>36</v>
      </c>
    </row>
    <row r="3810">
      <c r="A3810" s="0" t="s">
        <v>6819</v>
      </c>
      <c r="B3810" s="0" t="s">
        <v>6820</v>
      </c>
      <c r="C3810" s="5">
        <f>=HYPERLINK("https://nusmods.com/modules/YSC2209#timetable","Timetable")</f>
      </c>
      <c r="D3810" s="5"/>
      <c r="E3810" s="5"/>
      <c r="F3810" s="0" t="s">
        <v>6629</v>
      </c>
      <c r="G3810" s="0" t="s">
        <v>6629</v>
      </c>
      <c r="H3810" s="3">
        <v>21</v>
      </c>
    </row>
    <row r="3811">
      <c r="A3811" s="0" t="s">
        <v>6821</v>
      </c>
      <c r="B3811" s="0" t="s">
        <v>3773</v>
      </c>
      <c r="C3811" s="5">
        <f>=HYPERLINK("https://nusmods.com/modules/YSC2216#timetable","Timetable")</f>
      </c>
      <c r="D3811" s="5"/>
      <c r="E3811" s="5"/>
      <c r="F3811" s="0" t="s">
        <v>6629</v>
      </c>
      <c r="G3811" s="0" t="s">
        <v>6629</v>
      </c>
      <c r="H3811" s="3">
        <v>8</v>
      </c>
    </row>
    <row r="3812">
      <c r="A3812" s="0" t="s">
        <v>6822</v>
      </c>
      <c r="B3812" s="0" t="s">
        <v>6823</v>
      </c>
      <c r="C3812" s="5">
        <f>=HYPERLINK("https://nusmods.com/modules/YSC2221#timetable","Timetable")</f>
      </c>
      <c r="D3812" s="5"/>
      <c r="E3812" s="5"/>
      <c r="F3812" s="0" t="s">
        <v>6629</v>
      </c>
      <c r="G3812" s="0" t="s">
        <v>6629</v>
      </c>
      <c r="H3812" s="3">
        <v>36</v>
      </c>
    </row>
    <row r="3813">
      <c r="A3813" s="0" t="s">
        <v>6824</v>
      </c>
      <c r="B3813" s="0" t="s">
        <v>6825</v>
      </c>
      <c r="C3813" s="5">
        <f>=HYPERLINK("https://nusmods.com/modules/YSC2222#timetable","Timetable")</f>
      </c>
      <c r="D3813" s="5"/>
      <c r="E3813" s="5"/>
      <c r="F3813" s="0" t="s">
        <v>6629</v>
      </c>
      <c r="G3813" s="0" t="s">
        <v>6629</v>
      </c>
      <c r="H3813" s="3">
        <v>5</v>
      </c>
    </row>
    <row r="3814">
      <c r="A3814" s="0" t="s">
        <v>6826</v>
      </c>
      <c r="B3814" s="0" t="s">
        <v>6827</v>
      </c>
      <c r="C3814" s="5">
        <f>=HYPERLINK("https://nusmods.com/modules/YSC2224#timetable","Timetable")</f>
      </c>
      <c r="D3814" s="5"/>
      <c r="E3814" s="5"/>
      <c r="F3814" s="0" t="s">
        <v>6629</v>
      </c>
      <c r="G3814" s="0" t="s">
        <v>6629</v>
      </c>
      <c r="H3814" s="3">
        <v>4</v>
      </c>
    </row>
    <row r="3815">
      <c r="A3815" s="0" t="s">
        <v>6828</v>
      </c>
      <c r="B3815" s="0" t="s">
        <v>6829</v>
      </c>
      <c r="C3815" s="5">
        <f>=HYPERLINK("https://nusmods.com/modules/YSC2227#timetable","Timetable")</f>
      </c>
      <c r="D3815" s="5"/>
      <c r="E3815" s="5"/>
      <c r="F3815" s="0" t="s">
        <v>6629</v>
      </c>
      <c r="G3815" s="0" t="s">
        <v>6629</v>
      </c>
      <c r="H3815" s="3">
        <v>8</v>
      </c>
    </row>
    <row r="3816">
      <c r="A3816" s="0" t="s">
        <v>6830</v>
      </c>
      <c r="B3816" s="0" t="s">
        <v>6831</v>
      </c>
      <c r="C3816" s="5">
        <f>=HYPERLINK("https://nusmods.com/modules/YSC2229#timetable","Timetable")</f>
      </c>
      <c r="D3816" s="5"/>
      <c r="E3816" s="5"/>
      <c r="F3816" s="0" t="s">
        <v>6629</v>
      </c>
      <c r="G3816" s="0" t="s">
        <v>6629</v>
      </c>
      <c r="H3816" s="3">
        <v>22</v>
      </c>
    </row>
    <row r="3817">
      <c r="A3817" s="0" t="s">
        <v>6832</v>
      </c>
      <c r="B3817" s="0" t="s">
        <v>6833</v>
      </c>
      <c r="C3817" s="5">
        <f>=HYPERLINK("https://nusmods.com/modules/YSC2231#timetable","Timetable")</f>
      </c>
      <c r="D3817" s="5"/>
      <c r="E3817" s="5"/>
      <c r="F3817" s="0" t="s">
        <v>6629</v>
      </c>
      <c r="G3817" s="0" t="s">
        <v>6629</v>
      </c>
      <c r="H3817" s="3">
        <v>23</v>
      </c>
    </row>
    <row r="3818">
      <c r="A3818" s="0" t="s">
        <v>6834</v>
      </c>
      <c r="B3818" s="0" t="s">
        <v>6835</v>
      </c>
      <c r="C3818" s="5">
        <f>=HYPERLINK("https://nusmods.com/modules/YSC2232#timetable","Timetable")</f>
      </c>
      <c r="D3818" s="5"/>
      <c r="E3818" s="5"/>
      <c r="F3818" s="0" t="s">
        <v>6629</v>
      </c>
      <c r="G3818" s="0" t="s">
        <v>6629</v>
      </c>
      <c r="H3818" s="3">
        <v>10</v>
      </c>
    </row>
    <row r="3819">
      <c r="A3819" s="0" t="s">
        <v>6836</v>
      </c>
      <c r="B3819" s="0" t="s">
        <v>6837</v>
      </c>
      <c r="C3819" s="5">
        <f>=HYPERLINK("https://nusmods.com/modules/YSC2233#timetable","Timetable")</f>
      </c>
      <c r="D3819" s="5"/>
      <c r="E3819" s="5"/>
      <c r="F3819" s="0" t="s">
        <v>6629</v>
      </c>
      <c r="G3819" s="0" t="s">
        <v>6629</v>
      </c>
      <c r="H3819" s="3">
        <v>16</v>
      </c>
    </row>
    <row r="3820">
      <c r="A3820" s="0" t="s">
        <v>6838</v>
      </c>
      <c r="B3820" s="0" t="s">
        <v>6839</v>
      </c>
      <c r="C3820" s="5">
        <f>=HYPERLINK("https://nusmods.com/modules/YSC2236#timetable","Timetable")</f>
      </c>
      <c r="D3820" s="5"/>
      <c r="E3820" s="5"/>
      <c r="F3820" s="0" t="s">
        <v>6629</v>
      </c>
      <c r="G3820" s="0" t="s">
        <v>6629</v>
      </c>
      <c r="H3820" s="3">
        <v>16</v>
      </c>
    </row>
    <row r="3821">
      <c r="A3821" s="0" t="s">
        <v>6840</v>
      </c>
      <c r="B3821" s="0" t="s">
        <v>1615</v>
      </c>
      <c r="C3821" s="5">
        <f>=HYPERLINK("https://nusmods.com/modules/YSC2239#timetable","Timetable")</f>
      </c>
      <c r="D3821" s="5"/>
      <c r="E3821" s="5"/>
      <c r="F3821" s="0" t="s">
        <v>6629</v>
      </c>
      <c r="G3821" s="0" t="s">
        <v>6629</v>
      </c>
      <c r="H3821" s="3">
        <v>44</v>
      </c>
    </row>
    <row r="3822">
      <c r="A3822" s="0" t="s">
        <v>6841</v>
      </c>
      <c r="B3822" s="0" t="s">
        <v>3922</v>
      </c>
      <c r="C3822" s="5">
        <f>=HYPERLINK("https://nusmods.com/modules/YSC2243#timetable","Timetable")</f>
      </c>
      <c r="D3822" s="5"/>
      <c r="E3822" s="5"/>
      <c r="F3822" s="0" t="s">
        <v>6629</v>
      </c>
      <c r="G3822" s="0" t="s">
        <v>6629</v>
      </c>
      <c r="H3822" s="3">
        <v>26</v>
      </c>
    </row>
    <row r="3823">
      <c r="A3823" s="0" t="s">
        <v>6842</v>
      </c>
      <c r="B3823" s="0" t="s">
        <v>6843</v>
      </c>
      <c r="C3823" s="5">
        <f>=HYPERLINK("https://nusmods.com/modules/YSC2244#timetable","Timetable")</f>
      </c>
      <c r="D3823" s="5"/>
      <c r="E3823" s="5"/>
      <c r="F3823" s="0" t="s">
        <v>6629</v>
      </c>
      <c r="G3823" s="0" t="s">
        <v>6629</v>
      </c>
      <c r="H3823" s="3">
        <v>30</v>
      </c>
    </row>
    <row r="3824">
      <c r="A3824" s="0" t="s">
        <v>6844</v>
      </c>
      <c r="B3824" s="0" t="s">
        <v>6845</v>
      </c>
      <c r="C3824" s="5">
        <f>=HYPERLINK("https://nusmods.com/modules/YSC2248#timetable","Timetable")</f>
      </c>
      <c r="D3824" s="5"/>
      <c r="E3824" s="5"/>
      <c r="F3824" s="0" t="s">
        <v>6629</v>
      </c>
      <c r="G3824" s="0" t="s">
        <v>6629</v>
      </c>
      <c r="H3824" s="3">
        <v>6</v>
      </c>
    </row>
    <row r="3825">
      <c r="A3825" s="0" t="s">
        <v>6846</v>
      </c>
      <c r="B3825" s="0" t="s">
        <v>3918</v>
      </c>
      <c r="C3825" s="5">
        <f>=HYPERLINK("https://nusmods.com/modules/YSC2252#timetable","Timetable")</f>
      </c>
      <c r="D3825" s="5"/>
      <c r="E3825" s="5"/>
      <c r="F3825" s="0" t="s">
        <v>6629</v>
      </c>
      <c r="G3825" s="0" t="s">
        <v>6629</v>
      </c>
      <c r="H3825" s="3">
        <v>7</v>
      </c>
    </row>
    <row r="3826">
      <c r="A3826" s="0" t="s">
        <v>6847</v>
      </c>
      <c r="B3826" s="0" t="s">
        <v>6848</v>
      </c>
      <c r="C3826" s="5">
        <f>=HYPERLINK("https://nusmods.com/modules/YSC2258#timetable","Timetable")</f>
      </c>
      <c r="D3826" s="5"/>
      <c r="E3826" s="5"/>
      <c r="F3826" s="0" t="s">
        <v>6629</v>
      </c>
      <c r="G3826" s="0" t="s">
        <v>6629</v>
      </c>
      <c r="H3826" s="3">
        <v>17</v>
      </c>
    </row>
    <row r="3827">
      <c r="A3827" s="0" t="s">
        <v>6849</v>
      </c>
      <c r="B3827" s="0" t="s">
        <v>6850</v>
      </c>
      <c r="C3827" s="5">
        <f>=HYPERLINK("https://nusmods.com/modules/YSC2259#timetable","Timetable")</f>
      </c>
      <c r="D3827" s="5"/>
      <c r="E3827" s="5"/>
      <c r="F3827" s="0" t="s">
        <v>6629</v>
      </c>
      <c r="G3827" s="0" t="s">
        <v>6629</v>
      </c>
      <c r="H3827" s="3">
        <v>26</v>
      </c>
    </row>
    <row r="3828">
      <c r="A3828" s="0" t="s">
        <v>6851</v>
      </c>
      <c r="B3828" s="0" t="s">
        <v>6852</v>
      </c>
      <c r="C3828" s="5">
        <f>=HYPERLINK("https://nusmods.com/modules/YSC2260#timetable","Timetable")</f>
      </c>
      <c r="D3828" s="5"/>
      <c r="E3828" s="5"/>
      <c r="F3828" s="0" t="s">
        <v>6629</v>
      </c>
      <c r="G3828" s="0" t="s">
        <v>6629</v>
      </c>
      <c r="H3828" s="3">
        <v>28</v>
      </c>
    </row>
    <row r="3829">
      <c r="A3829" s="0" t="s">
        <v>6853</v>
      </c>
      <c r="B3829" s="0" t="s">
        <v>6854</v>
      </c>
      <c r="C3829" s="5">
        <f>=HYPERLINK("https://nusmods.com/modules/YSC3206#timetable","Timetable")</f>
      </c>
      <c r="D3829" s="5"/>
      <c r="E3829" s="5"/>
      <c r="F3829" s="0" t="s">
        <v>6629</v>
      </c>
      <c r="G3829" s="0" t="s">
        <v>6629</v>
      </c>
      <c r="H3829" s="3">
        <v>11</v>
      </c>
    </row>
    <row r="3830">
      <c r="A3830" s="0" t="s">
        <v>6855</v>
      </c>
      <c r="B3830" s="0" t="s">
        <v>6856</v>
      </c>
      <c r="C3830" s="5">
        <f>=HYPERLINK("https://nusmods.com/modules/YSC3210#timetable","Timetable")</f>
      </c>
      <c r="D3830" s="5">
        <f>=HYPERLINK("https://canvas.nus.edu.sg/courses/25534","Canvas course site")</f>
      </c>
      <c r="E3830" s="5"/>
      <c r="F3830" s="0" t="s">
        <v>6629</v>
      </c>
      <c r="G3830" s="0" t="s">
        <v>6629</v>
      </c>
      <c r="H3830" s="3">
        <v>5</v>
      </c>
    </row>
    <row r="3831">
      <c r="A3831" s="0" t="s">
        <v>6857</v>
      </c>
      <c r="B3831" s="0" t="s">
        <v>6858</v>
      </c>
      <c r="C3831" s="5">
        <f>=HYPERLINK("https://nusmods.com/modules/YSC3211#timetable","Timetable")</f>
      </c>
      <c r="D3831" s="5"/>
      <c r="E3831" s="5"/>
      <c r="F3831" s="0" t="s">
        <v>6629</v>
      </c>
      <c r="G3831" s="0" t="s">
        <v>6629</v>
      </c>
      <c r="H3831" s="3">
        <v>3</v>
      </c>
    </row>
    <row r="3832">
      <c r="A3832" s="0" t="s">
        <v>6859</v>
      </c>
      <c r="B3832" s="0" t="s">
        <v>6860</v>
      </c>
      <c r="C3832" s="5">
        <f>=HYPERLINK("https://nusmods.com/modules/YSC3215#timetable","Timetable")</f>
      </c>
      <c r="D3832" s="5"/>
      <c r="E3832" s="5"/>
      <c r="F3832" s="0" t="s">
        <v>6629</v>
      </c>
      <c r="G3832" s="0" t="s">
        <v>6629</v>
      </c>
      <c r="H3832" s="3">
        <v>5</v>
      </c>
    </row>
    <row r="3833">
      <c r="A3833" s="0" t="s">
        <v>6861</v>
      </c>
      <c r="B3833" s="0" t="s">
        <v>6862</v>
      </c>
      <c r="C3833" s="5">
        <f>=HYPERLINK("https://nusmods.com/modules/YSC3235#timetable","Timetable")</f>
      </c>
      <c r="D3833" s="5"/>
      <c r="E3833" s="5"/>
      <c r="F3833" s="0" t="s">
        <v>6629</v>
      </c>
      <c r="G3833" s="0" t="s">
        <v>6629</v>
      </c>
      <c r="H3833" s="3">
        <v>6</v>
      </c>
    </row>
    <row r="3834">
      <c r="A3834" s="0" t="s">
        <v>6863</v>
      </c>
      <c r="B3834" s="0" t="s">
        <v>6864</v>
      </c>
      <c r="C3834" s="5">
        <f>=HYPERLINK("https://nusmods.com/modules/YSC3236#timetable","Timetable")</f>
      </c>
      <c r="D3834" s="5"/>
      <c r="E3834" s="5"/>
      <c r="F3834" s="0" t="s">
        <v>6629</v>
      </c>
      <c r="G3834" s="0" t="s">
        <v>6629</v>
      </c>
      <c r="H3834" s="3">
        <v>11</v>
      </c>
    </row>
    <row r="3835">
      <c r="A3835" s="0" t="s">
        <v>6865</v>
      </c>
      <c r="B3835" s="0" t="s">
        <v>6866</v>
      </c>
      <c r="C3835" s="5">
        <f>=HYPERLINK("https://nusmods.com/modules/YSC3237#timetable","Timetable")</f>
      </c>
      <c r="D3835" s="5"/>
      <c r="E3835" s="5"/>
      <c r="F3835" s="0" t="s">
        <v>6629</v>
      </c>
      <c r="G3835" s="0" t="s">
        <v>6629</v>
      </c>
      <c r="H3835" s="3">
        <v>9</v>
      </c>
    </row>
    <row r="3836">
      <c r="A3836" s="0" t="s">
        <v>6867</v>
      </c>
      <c r="B3836" s="0" t="s">
        <v>6868</v>
      </c>
      <c r="C3836" s="5">
        <f>=HYPERLINK("https://nusmods.com/modules/YSC3239#timetable","Timetable")</f>
      </c>
      <c r="D3836" s="5"/>
      <c r="E3836" s="5"/>
      <c r="F3836" s="0" t="s">
        <v>6629</v>
      </c>
      <c r="G3836" s="0" t="s">
        <v>6629</v>
      </c>
      <c r="H3836" s="3">
        <v>10</v>
      </c>
    </row>
    <row r="3837">
      <c r="A3837" s="0" t="s">
        <v>6869</v>
      </c>
      <c r="B3837" s="0" t="s">
        <v>6870</v>
      </c>
      <c r="C3837" s="5">
        <f>=HYPERLINK("https://nusmods.com/modules/YSC3251#timetable","Timetable")</f>
      </c>
      <c r="D3837" s="5"/>
      <c r="E3837" s="5"/>
      <c r="F3837" s="0" t="s">
        <v>6629</v>
      </c>
      <c r="G3837" s="0" t="s">
        <v>6629</v>
      </c>
      <c r="H3837" s="3">
        <v>19</v>
      </c>
    </row>
    <row r="3838">
      <c r="A3838" s="0" t="s">
        <v>6871</v>
      </c>
      <c r="B3838" s="0" t="s">
        <v>6872</v>
      </c>
      <c r="C3838" s="5">
        <f>=HYPERLINK("https://nusmods.com/modules/YSC3252#timetable","Timetable")</f>
      </c>
      <c r="D3838" s="5"/>
      <c r="E3838" s="5"/>
      <c r="F3838" s="0" t="s">
        <v>6629</v>
      </c>
      <c r="G3838" s="0" t="s">
        <v>6629</v>
      </c>
      <c r="H3838" s="3">
        <v>5</v>
      </c>
    </row>
    <row r="3839">
      <c r="A3839" s="0" t="s">
        <v>6873</v>
      </c>
      <c r="B3839" s="0" t="s">
        <v>6874</v>
      </c>
      <c r="C3839" s="5">
        <f>=HYPERLINK("https://nusmods.com/modules/YSC3257#timetable","Timetable")</f>
      </c>
      <c r="D3839" s="5"/>
      <c r="E3839" s="5"/>
      <c r="F3839" s="0" t="s">
        <v>6629</v>
      </c>
      <c r="G3839" s="0" t="s">
        <v>6629</v>
      </c>
      <c r="H3839" s="3">
        <v>10</v>
      </c>
    </row>
    <row r="3840">
      <c r="A3840" s="0" t="s">
        <v>6875</v>
      </c>
      <c r="B3840" s="0" t="s">
        <v>6876</v>
      </c>
      <c r="C3840" s="5">
        <f>=HYPERLINK("https://nusmods.com/modules/YSC4101#timetable","Timetable")</f>
      </c>
      <c r="D3840" s="5"/>
      <c r="E3840" s="5"/>
      <c r="F3840" s="0" t="s">
        <v>6629</v>
      </c>
      <c r="G3840" s="0" t="s">
        <v>6629</v>
      </c>
      <c r="H3840" s="3">
        <v>12</v>
      </c>
    </row>
    <row r="3841">
      <c r="A3841" s="0" t="s">
        <v>6877</v>
      </c>
      <c r="B3841" s="0" t="s">
        <v>6878</v>
      </c>
      <c r="C3841" s="5">
        <f>=HYPERLINK("https://nusmods.com/modules/YSC4102#timetable","Timetable")</f>
      </c>
      <c r="D3841" s="5"/>
      <c r="E3841" s="5"/>
      <c r="F3841" s="0" t="s">
        <v>6629</v>
      </c>
      <c r="G3841" s="0" t="s">
        <v>6629</v>
      </c>
      <c r="H3841" s="3">
        <v>8</v>
      </c>
    </row>
    <row r="3842">
      <c r="A3842" s="0" t="s">
        <v>6879</v>
      </c>
      <c r="B3842" s="0" t="s">
        <v>6880</v>
      </c>
      <c r="C3842" s="5">
        <f>=HYPERLINK("https://nusmods.com/modules/YSC4103#timetable","Timetable")</f>
      </c>
      <c r="D3842" s="5"/>
      <c r="E3842" s="5"/>
      <c r="F3842" s="0" t="s">
        <v>6629</v>
      </c>
      <c r="G3842" s="0" t="s">
        <v>6629</v>
      </c>
      <c r="H3842" s="3">
        <v>20</v>
      </c>
    </row>
    <row r="3843">
      <c r="A3843" s="0" t="s">
        <v>6881</v>
      </c>
      <c r="B3843" s="0" t="s">
        <v>6882</v>
      </c>
      <c r="C3843" s="5">
        <f>=HYPERLINK("https://nusmods.com/modules/YSC4209#timetable","Timetable")</f>
      </c>
      <c r="D3843" s="5"/>
      <c r="E3843" s="5"/>
      <c r="F3843" s="0" t="s">
        <v>6629</v>
      </c>
      <c r="G3843" s="0" t="s">
        <v>6629</v>
      </c>
      <c r="H3843" s="3">
        <v>12</v>
      </c>
    </row>
    <row r="3844">
      <c r="A3844" s="0" t="s">
        <v>6883</v>
      </c>
      <c r="B3844" s="0" t="s">
        <v>6884</v>
      </c>
      <c r="C3844" s="5">
        <f>=HYPERLINK("https://nusmods.com/modules/YSC4210#timetable","Timetable")</f>
      </c>
      <c r="D3844" s="5"/>
      <c r="E3844" s="5"/>
      <c r="F3844" s="0" t="s">
        <v>6629</v>
      </c>
      <c r="G3844" s="0" t="s">
        <v>6629</v>
      </c>
      <c r="H3844" s="3">
        <v>4</v>
      </c>
    </row>
    <row r="3845">
      <c r="A3845" s="0" t="s">
        <v>6885</v>
      </c>
      <c r="B3845" s="0" t="s">
        <v>6886</v>
      </c>
      <c r="C3845" s="5">
        <f>=HYPERLINK("https://nusmods.com/modules/YSC4220#timetable","Timetable")</f>
      </c>
      <c r="D3845" s="5"/>
      <c r="E3845" s="5"/>
      <c r="F3845" s="0" t="s">
        <v>6629</v>
      </c>
      <c r="G3845" s="0" t="s">
        <v>6629</v>
      </c>
      <c r="H3845" s="3">
        <v>11</v>
      </c>
    </row>
    <row r="3846">
      <c r="A3846" s="0" t="s">
        <v>6887</v>
      </c>
      <c r="B3846" s="0" t="s">
        <v>6888</v>
      </c>
      <c r="C3846" s="5">
        <f>=HYPERLINK("https://nusmods.com/modules/YSC4223#timetable","Timetable")</f>
      </c>
      <c r="D3846" s="5"/>
      <c r="E3846" s="5"/>
      <c r="F3846" s="0" t="s">
        <v>6629</v>
      </c>
      <c r="G3846" s="0" t="s">
        <v>6629</v>
      </c>
      <c r="H3846" s="3">
        <v>6</v>
      </c>
    </row>
    <row r="3847">
      <c r="A3847" s="0" t="s">
        <v>6889</v>
      </c>
      <c r="B3847" s="0" t="s">
        <v>6890</v>
      </c>
      <c r="C3847" s="5">
        <f>=HYPERLINK("https://nusmods.com/modules/YSC4231#timetable","Timetable")</f>
      </c>
      <c r="D3847" s="5">
        <f>=HYPERLINK("https://canvas.nus.edu.sg/courses/25607","Canvas course site")</f>
      </c>
      <c r="E3847" s="5"/>
      <c r="F3847" s="0" t="s">
        <v>6629</v>
      </c>
      <c r="G3847" s="0" t="s">
        <v>6629</v>
      </c>
      <c r="H3847" s="3">
        <v>13</v>
      </c>
    </row>
    <row r="3848">
      <c r="A3848" s="0" t="s">
        <v>6891</v>
      </c>
      <c r="B3848" s="0" t="s">
        <v>1326</v>
      </c>
      <c r="C3848" s="5">
        <f>=HYPERLINK("https://nusmods.com/modules/YSC4232#timetable","Timetable")</f>
      </c>
      <c r="D3848" s="5"/>
      <c r="E3848" s="5"/>
      <c r="F3848" s="0" t="s">
        <v>6629</v>
      </c>
      <c r="G3848" s="0" t="s">
        <v>6629</v>
      </c>
      <c r="H3848" s="3">
        <v>7</v>
      </c>
    </row>
    <row r="3849">
      <c r="A3849" s="0" t="s">
        <v>6892</v>
      </c>
      <c r="B3849" s="0" t="s">
        <v>6893</v>
      </c>
      <c r="C3849" s="5">
        <f>=HYPERLINK("https://nusmods.com/modules/YSC4233#timetable","Timetable")</f>
      </c>
      <c r="D3849" s="5"/>
      <c r="E3849" s="5"/>
      <c r="F3849" s="0" t="s">
        <v>6629</v>
      </c>
      <c r="G3849" s="0" t="s">
        <v>6629</v>
      </c>
      <c r="H3849" s="3">
        <v>14</v>
      </c>
    </row>
    <row r="3850">
      <c r="A3850" s="0" t="s">
        <v>6894</v>
      </c>
      <c r="B3850" s="0" t="s">
        <v>6895</v>
      </c>
      <c r="C3850" s="5">
        <f>=HYPERLINK("https://nusmods.com/modules/YSS1203#timetable","Timetable")</f>
      </c>
      <c r="D3850" s="5"/>
      <c r="E3850" s="5"/>
      <c r="F3850" s="0" t="s">
        <v>6629</v>
      </c>
      <c r="G3850" s="0" t="s">
        <v>6629</v>
      </c>
      <c r="H3850" s="3">
        <v>20</v>
      </c>
    </row>
    <row r="3851">
      <c r="A3851" s="0" t="s">
        <v>6896</v>
      </c>
      <c r="B3851" s="0" t="s">
        <v>5564</v>
      </c>
      <c r="C3851" s="5">
        <f>=HYPERLINK("https://nusmods.com/modules/YSS1206#timetable","Timetable")</f>
      </c>
      <c r="D3851" s="5"/>
      <c r="E3851" s="5"/>
      <c r="F3851" s="0" t="s">
        <v>6629</v>
      </c>
      <c r="G3851" s="0" t="s">
        <v>6629</v>
      </c>
      <c r="H3851" s="3">
        <v>30</v>
      </c>
    </row>
    <row r="3852">
      <c r="A3852" s="0" t="s">
        <v>6897</v>
      </c>
      <c r="B3852" s="0" t="s">
        <v>5220</v>
      </c>
      <c r="C3852" s="5">
        <f>=HYPERLINK("https://nusmods.com/modules/YSS2201#timetable","Timetable")</f>
      </c>
      <c r="D3852" s="5"/>
      <c r="E3852" s="5"/>
      <c r="F3852" s="0" t="s">
        <v>6629</v>
      </c>
      <c r="G3852" s="0" t="s">
        <v>6629</v>
      </c>
      <c r="H3852" s="3">
        <v>18</v>
      </c>
    </row>
    <row r="3853">
      <c r="A3853" s="0" t="s">
        <v>6898</v>
      </c>
      <c r="B3853" s="0" t="s">
        <v>6899</v>
      </c>
      <c r="C3853" s="5">
        <f>=HYPERLINK("https://nusmods.com/modules/YSS2203#timetable","Timetable")</f>
      </c>
      <c r="D3853" s="5"/>
      <c r="E3853" s="5"/>
      <c r="F3853" s="0" t="s">
        <v>6629</v>
      </c>
      <c r="G3853" s="0" t="s">
        <v>6629</v>
      </c>
      <c r="H3853" s="3">
        <v>43</v>
      </c>
    </row>
    <row r="3854">
      <c r="A3854" s="0" t="s">
        <v>6900</v>
      </c>
      <c r="B3854" s="0" t="s">
        <v>6901</v>
      </c>
      <c r="C3854" s="5">
        <f>=HYPERLINK("https://nusmods.com/modules/YSS2211#timetable","Timetable")</f>
      </c>
      <c r="D3854" s="5"/>
      <c r="E3854" s="5"/>
      <c r="F3854" s="0" t="s">
        <v>6629</v>
      </c>
      <c r="G3854" s="0" t="s">
        <v>6629</v>
      </c>
      <c r="H3854" s="3">
        <v>19</v>
      </c>
    </row>
    <row r="3855">
      <c r="A3855" s="0" t="s">
        <v>6902</v>
      </c>
      <c r="B3855" s="0" t="s">
        <v>6903</v>
      </c>
      <c r="C3855" s="5">
        <f>=HYPERLINK("https://nusmods.com/modules/YSS2212#timetable","Timetable")</f>
      </c>
      <c r="D3855" s="5"/>
      <c r="E3855" s="5"/>
      <c r="F3855" s="0" t="s">
        <v>6629</v>
      </c>
      <c r="G3855" s="0" t="s">
        <v>6629</v>
      </c>
      <c r="H3855" s="3">
        <v>15</v>
      </c>
    </row>
    <row r="3856">
      <c r="A3856" s="0" t="s">
        <v>6904</v>
      </c>
      <c r="B3856" s="0" t="s">
        <v>6905</v>
      </c>
      <c r="C3856" s="5">
        <f>=HYPERLINK("https://nusmods.com/modules/YSS2214#timetable","Timetable")</f>
      </c>
      <c r="D3856" s="5"/>
      <c r="E3856" s="5"/>
      <c r="F3856" s="0" t="s">
        <v>6629</v>
      </c>
      <c r="G3856" s="0" t="s">
        <v>6629</v>
      </c>
      <c r="H3856" s="3">
        <v>41</v>
      </c>
    </row>
    <row r="3857">
      <c r="A3857" s="0" t="s">
        <v>6906</v>
      </c>
      <c r="B3857" s="0" t="s">
        <v>6907</v>
      </c>
      <c r="C3857" s="5">
        <f>=HYPERLINK("https://nusmods.com/modules/YSS2216#timetable","Timetable")</f>
      </c>
      <c r="D3857" s="5"/>
      <c r="E3857" s="5"/>
      <c r="F3857" s="0" t="s">
        <v>6629</v>
      </c>
      <c r="G3857" s="0" t="s">
        <v>6629</v>
      </c>
      <c r="H3857" s="3">
        <v>13</v>
      </c>
    </row>
    <row r="3858">
      <c r="A3858" s="0" t="s">
        <v>6908</v>
      </c>
      <c r="B3858" s="0" t="s">
        <v>5454</v>
      </c>
      <c r="C3858" s="5">
        <f>=HYPERLINK("https://nusmods.com/modules/YSS2218#timetable","Timetable")</f>
      </c>
      <c r="D3858" s="5"/>
      <c r="E3858" s="5"/>
      <c r="F3858" s="0" t="s">
        <v>6629</v>
      </c>
      <c r="G3858" s="0" t="s">
        <v>6629</v>
      </c>
      <c r="H3858" s="3">
        <v>18</v>
      </c>
    </row>
    <row r="3859">
      <c r="A3859" s="0" t="s">
        <v>6909</v>
      </c>
      <c r="B3859" s="0" t="s">
        <v>6910</v>
      </c>
      <c r="C3859" s="5">
        <f>=HYPERLINK("https://nusmods.com/modules/YSS2220#timetable","Timetable")</f>
      </c>
      <c r="D3859" s="5"/>
      <c r="E3859" s="5"/>
      <c r="F3859" s="0" t="s">
        <v>6629</v>
      </c>
      <c r="G3859" s="0" t="s">
        <v>6629</v>
      </c>
      <c r="H3859" s="3">
        <v>14</v>
      </c>
    </row>
    <row r="3860">
      <c r="A3860" s="0" t="s">
        <v>6911</v>
      </c>
      <c r="B3860" s="0" t="s">
        <v>6912</v>
      </c>
      <c r="C3860" s="5">
        <f>=HYPERLINK("https://nusmods.com/modules/YSS2227#timetable","Timetable")</f>
      </c>
      <c r="D3860" s="5"/>
      <c r="E3860" s="5"/>
      <c r="F3860" s="0" t="s">
        <v>6629</v>
      </c>
      <c r="G3860" s="0" t="s">
        <v>6629</v>
      </c>
      <c r="H3860" s="3">
        <v>16</v>
      </c>
    </row>
    <row r="3861">
      <c r="A3861" s="0" t="s">
        <v>6913</v>
      </c>
      <c r="B3861" s="0" t="s">
        <v>6914</v>
      </c>
      <c r="C3861" s="5">
        <f>=HYPERLINK("https://nusmods.com/modules/YSS2228#timetable","Timetable")</f>
      </c>
      <c r="D3861" s="5"/>
      <c r="E3861" s="5"/>
      <c r="F3861" s="0" t="s">
        <v>6629</v>
      </c>
      <c r="G3861" s="0" t="s">
        <v>6629</v>
      </c>
      <c r="H3861" s="3">
        <v>17</v>
      </c>
    </row>
    <row r="3862">
      <c r="A3862" s="0" t="s">
        <v>6915</v>
      </c>
      <c r="B3862" s="0" t="s">
        <v>6916</v>
      </c>
      <c r="C3862" s="5">
        <f>=HYPERLINK("https://nusmods.com/modules/YSS2233#timetable","Timetable")</f>
      </c>
      <c r="D3862" s="5"/>
      <c r="E3862" s="5"/>
      <c r="F3862" s="0" t="s">
        <v>6629</v>
      </c>
      <c r="G3862" s="0" t="s">
        <v>6629</v>
      </c>
      <c r="H3862" s="3">
        <v>31</v>
      </c>
    </row>
    <row r="3863">
      <c r="A3863" s="0" t="s">
        <v>6917</v>
      </c>
      <c r="B3863" s="0" t="s">
        <v>6918</v>
      </c>
      <c r="C3863" s="5">
        <f>=HYPERLINK("https://nusmods.com/modules/YSS2234#timetable","Timetable")</f>
      </c>
      <c r="D3863" s="5"/>
      <c r="E3863" s="5"/>
      <c r="F3863" s="0" t="s">
        <v>6629</v>
      </c>
      <c r="G3863" s="0" t="s">
        <v>6629</v>
      </c>
      <c r="H3863" s="3">
        <v>18</v>
      </c>
    </row>
    <row r="3864">
      <c r="A3864" s="0" t="s">
        <v>6919</v>
      </c>
      <c r="B3864" s="0" t="s">
        <v>6920</v>
      </c>
      <c r="C3864" s="5">
        <f>=HYPERLINK("https://nusmods.com/modules/YSS2250#timetable","Timetable")</f>
      </c>
      <c r="D3864" s="5"/>
      <c r="E3864" s="5"/>
      <c r="F3864" s="0" t="s">
        <v>6629</v>
      </c>
      <c r="G3864" s="0" t="s">
        <v>6629</v>
      </c>
      <c r="H3864" s="3">
        <v>14</v>
      </c>
    </row>
    <row r="3865">
      <c r="A3865" s="0" t="s">
        <v>6921</v>
      </c>
      <c r="B3865" s="0" t="s">
        <v>6922</v>
      </c>
      <c r="C3865" s="5">
        <f>=HYPERLINK("https://nusmods.com/modules/YSS3202#timetable","Timetable")</f>
      </c>
      <c r="D3865" s="5"/>
      <c r="E3865" s="5"/>
      <c r="F3865" s="0" t="s">
        <v>6629</v>
      </c>
      <c r="G3865" s="0" t="s">
        <v>6629</v>
      </c>
      <c r="H3865" s="3">
        <v>17</v>
      </c>
    </row>
    <row r="3866">
      <c r="A3866" s="0" t="s">
        <v>6923</v>
      </c>
      <c r="B3866" s="0" t="s">
        <v>5235</v>
      </c>
      <c r="C3866" s="5">
        <f>=HYPERLINK("https://nusmods.com/modules/YSS3214#timetable","Timetable")</f>
      </c>
      <c r="D3866" s="5"/>
      <c r="E3866" s="5"/>
      <c r="F3866" s="0" t="s">
        <v>6629</v>
      </c>
      <c r="G3866" s="0" t="s">
        <v>6629</v>
      </c>
      <c r="H3866" s="3">
        <v>18</v>
      </c>
    </row>
    <row r="3867">
      <c r="A3867" s="0" t="s">
        <v>6924</v>
      </c>
      <c r="B3867" s="0" t="s">
        <v>6925</v>
      </c>
      <c r="C3867" s="5">
        <f>=HYPERLINK("https://nusmods.com/modules/YSS3217#timetable","Timetable")</f>
      </c>
      <c r="D3867" s="5"/>
      <c r="E3867" s="5"/>
      <c r="F3867" s="0" t="s">
        <v>6629</v>
      </c>
      <c r="G3867" s="0" t="s">
        <v>6629</v>
      </c>
      <c r="H3867" s="3">
        <v>12</v>
      </c>
    </row>
    <row r="3868">
      <c r="A3868" s="0" t="s">
        <v>6926</v>
      </c>
      <c r="B3868" s="0" t="s">
        <v>6927</v>
      </c>
      <c r="C3868" s="5">
        <f>=HYPERLINK("https://nusmods.com/modules/YSS3222#timetable","Timetable")</f>
      </c>
      <c r="D3868" s="5"/>
      <c r="E3868" s="5"/>
      <c r="F3868" s="0" t="s">
        <v>6629</v>
      </c>
      <c r="G3868" s="0" t="s">
        <v>6629</v>
      </c>
      <c r="H3868" s="3">
        <v>16</v>
      </c>
    </row>
    <row r="3869">
      <c r="A3869" s="0" t="s">
        <v>6928</v>
      </c>
      <c r="B3869" s="0" t="s">
        <v>6929</v>
      </c>
      <c r="C3869" s="5">
        <f>=HYPERLINK("https://nusmods.com/modules/YSS3228#timetable","Timetable")</f>
      </c>
      <c r="D3869" s="5"/>
      <c r="E3869" s="5"/>
      <c r="F3869" s="0" t="s">
        <v>6629</v>
      </c>
      <c r="G3869" s="0" t="s">
        <v>6629</v>
      </c>
      <c r="H3869" s="3">
        <v>17</v>
      </c>
    </row>
    <row r="3870">
      <c r="A3870" s="0" t="s">
        <v>6930</v>
      </c>
      <c r="B3870" s="0" t="s">
        <v>6931</v>
      </c>
      <c r="C3870" s="5">
        <f>=HYPERLINK("https://nusmods.com/modules/YSS3231#timetable","Timetable")</f>
      </c>
      <c r="D3870" s="5"/>
      <c r="E3870" s="5"/>
      <c r="F3870" s="0" t="s">
        <v>6629</v>
      </c>
      <c r="G3870" s="0" t="s">
        <v>6629</v>
      </c>
      <c r="H3870" s="3">
        <v>19</v>
      </c>
    </row>
    <row r="3871">
      <c r="A3871" s="0" t="s">
        <v>6932</v>
      </c>
      <c r="B3871" s="0" t="s">
        <v>6933</v>
      </c>
      <c r="C3871" s="5">
        <f>=HYPERLINK("https://nusmods.com/modules/YSS3245#timetable","Timetable")</f>
      </c>
      <c r="D3871" s="5"/>
      <c r="E3871" s="5"/>
      <c r="F3871" s="0" t="s">
        <v>6629</v>
      </c>
      <c r="G3871" s="0" t="s">
        <v>6629</v>
      </c>
      <c r="H3871" s="3">
        <v>18</v>
      </c>
    </row>
    <row r="3872">
      <c r="A3872" s="0" t="s">
        <v>6934</v>
      </c>
      <c r="B3872" s="0" t="s">
        <v>6935</v>
      </c>
      <c r="C3872" s="5">
        <f>=HYPERLINK("https://nusmods.com/modules/YSS3246#timetable","Timetable")</f>
      </c>
      <c r="D3872" s="5"/>
      <c r="E3872" s="5"/>
      <c r="F3872" s="0" t="s">
        <v>6629</v>
      </c>
      <c r="G3872" s="0" t="s">
        <v>6629</v>
      </c>
      <c r="H3872" s="3">
        <v>18</v>
      </c>
    </row>
    <row r="3873">
      <c r="A3873" s="0" t="s">
        <v>6936</v>
      </c>
      <c r="B3873" s="0" t="s">
        <v>6937</v>
      </c>
      <c r="C3873" s="5">
        <f>=HYPERLINK("https://nusmods.com/modules/YSS3248#timetable","Timetable")</f>
      </c>
      <c r="D3873" s="5"/>
      <c r="E3873" s="5"/>
      <c r="F3873" s="0" t="s">
        <v>6629</v>
      </c>
      <c r="G3873" s="0" t="s">
        <v>6629</v>
      </c>
      <c r="H3873" s="3">
        <v>11</v>
      </c>
    </row>
    <row r="3874">
      <c r="A3874" s="0" t="s">
        <v>6938</v>
      </c>
      <c r="B3874" s="0" t="s">
        <v>6939</v>
      </c>
      <c r="C3874" s="5">
        <f>=HYPERLINK("https://nusmods.com/modules/YSS3255#timetable","Timetable")</f>
      </c>
      <c r="D3874" s="5"/>
      <c r="E3874" s="5"/>
      <c r="F3874" s="0" t="s">
        <v>6629</v>
      </c>
      <c r="G3874" s="0" t="s">
        <v>6629</v>
      </c>
      <c r="H3874" s="3">
        <v>20</v>
      </c>
    </row>
    <row r="3875">
      <c r="A3875" s="0" t="s">
        <v>6940</v>
      </c>
      <c r="B3875" s="0" t="s">
        <v>6941</v>
      </c>
      <c r="C3875" s="5">
        <f>=HYPERLINK("https://nusmods.com/modules/YSS3257#timetable","Timetable")</f>
      </c>
      <c r="D3875" s="5"/>
      <c r="E3875" s="5"/>
      <c r="F3875" s="0" t="s">
        <v>6629</v>
      </c>
      <c r="G3875" s="0" t="s">
        <v>6629</v>
      </c>
      <c r="H3875" s="3">
        <v>21</v>
      </c>
    </row>
    <row r="3876">
      <c r="A3876" s="0" t="s">
        <v>6942</v>
      </c>
      <c r="B3876" s="0" t="s">
        <v>6943</v>
      </c>
      <c r="C3876" s="5">
        <f>=HYPERLINK("https://nusmods.com/modules/YSS3262#timetable","Timetable")</f>
      </c>
      <c r="D3876" s="5"/>
      <c r="E3876" s="5"/>
      <c r="F3876" s="0" t="s">
        <v>6629</v>
      </c>
      <c r="G3876" s="0" t="s">
        <v>6629</v>
      </c>
      <c r="H3876" s="3">
        <v>12</v>
      </c>
    </row>
    <row r="3877">
      <c r="A3877" s="0" t="s">
        <v>6944</v>
      </c>
      <c r="B3877" s="0" t="s">
        <v>6945</v>
      </c>
      <c r="C3877" s="5">
        <f>=HYPERLINK("https://nusmods.com/modules/YSS3273#timetable","Timetable")</f>
      </c>
      <c r="D3877" s="5"/>
      <c r="E3877" s="5"/>
      <c r="F3877" s="0" t="s">
        <v>6629</v>
      </c>
      <c r="G3877" s="0" t="s">
        <v>6629</v>
      </c>
      <c r="H3877" s="3">
        <v>19</v>
      </c>
    </row>
    <row r="3878">
      <c r="A3878" s="0" t="s">
        <v>6946</v>
      </c>
      <c r="B3878" s="0" t="s">
        <v>6947</v>
      </c>
      <c r="C3878" s="5">
        <f>=HYPERLINK("https://nusmods.com/modules/YSS3275#timetable","Timetable")</f>
      </c>
      <c r="D3878" s="5"/>
      <c r="E3878" s="5"/>
      <c r="F3878" s="0" t="s">
        <v>6629</v>
      </c>
      <c r="G3878" s="0" t="s">
        <v>6629</v>
      </c>
      <c r="H3878" s="3">
        <v>16</v>
      </c>
    </row>
    <row r="3879">
      <c r="A3879" s="0" t="s">
        <v>6948</v>
      </c>
      <c r="B3879" s="0" t="s">
        <v>6949</v>
      </c>
      <c r="C3879" s="5">
        <f>=HYPERLINK("https://nusmods.com/modules/YSS3277#timetable","Timetable")</f>
      </c>
      <c r="D3879" s="5"/>
      <c r="E3879" s="5"/>
      <c r="F3879" s="0" t="s">
        <v>6629</v>
      </c>
      <c r="G3879" s="0" t="s">
        <v>6629</v>
      </c>
      <c r="H3879" s="3">
        <v>14</v>
      </c>
    </row>
    <row r="3880">
      <c r="A3880" s="0" t="s">
        <v>6950</v>
      </c>
      <c r="B3880" s="0" t="s">
        <v>5233</v>
      </c>
      <c r="C3880" s="5">
        <f>=HYPERLINK("https://nusmods.com/modules/YSS3278#timetable","Timetable")</f>
      </c>
      <c r="D3880" s="5"/>
      <c r="E3880" s="5"/>
      <c r="F3880" s="0" t="s">
        <v>6629</v>
      </c>
      <c r="G3880" s="0" t="s">
        <v>6629</v>
      </c>
      <c r="H3880" s="3">
        <v>17</v>
      </c>
    </row>
    <row r="3881">
      <c r="A3881" s="0" t="s">
        <v>6951</v>
      </c>
      <c r="B3881" s="0" t="s">
        <v>6952</v>
      </c>
      <c r="C3881" s="5">
        <f>=HYPERLINK("https://nusmods.com/modules/YSS3300#timetable","Timetable")</f>
      </c>
      <c r="D3881" s="5"/>
      <c r="E3881" s="5"/>
      <c r="F3881" s="0" t="s">
        <v>6629</v>
      </c>
      <c r="G3881" s="0" t="s">
        <v>6629</v>
      </c>
      <c r="H3881" s="3">
        <v>8</v>
      </c>
    </row>
    <row r="3882">
      <c r="A3882" s="0" t="s">
        <v>6953</v>
      </c>
      <c r="B3882" s="0" t="s">
        <v>6954</v>
      </c>
      <c r="C3882" s="5">
        <f>=HYPERLINK("https://nusmods.com/modules/YSS3303#timetable","Timetable")</f>
      </c>
      <c r="D3882" s="5"/>
      <c r="E3882" s="5"/>
      <c r="F3882" s="0" t="s">
        <v>6629</v>
      </c>
      <c r="G3882" s="0" t="s">
        <v>6629</v>
      </c>
      <c r="H3882" s="3">
        <v>7</v>
      </c>
    </row>
    <row r="3883">
      <c r="A3883" s="0" t="s">
        <v>6955</v>
      </c>
      <c r="B3883" s="0" t="s">
        <v>6956</v>
      </c>
      <c r="C3883" s="5">
        <f>=HYPERLINK("https://nusmods.com/modules/YSS3317#timetable","Timetable")</f>
      </c>
      <c r="D3883" s="5"/>
      <c r="E3883" s="5"/>
      <c r="F3883" s="0" t="s">
        <v>6629</v>
      </c>
      <c r="G3883" s="0" t="s">
        <v>6629</v>
      </c>
      <c r="H3883" s="3">
        <v>16</v>
      </c>
    </row>
    <row r="3884">
      <c r="A3884" s="0" t="s">
        <v>6957</v>
      </c>
      <c r="B3884" s="0" t="s">
        <v>6958</v>
      </c>
      <c r="C3884" s="5">
        <f>=HYPERLINK("https://nusmods.com/modules/YSS3331#timetable","Timetable")</f>
      </c>
      <c r="D3884" s="5"/>
      <c r="E3884" s="5"/>
      <c r="F3884" s="0" t="s">
        <v>6629</v>
      </c>
      <c r="G3884" s="0" t="s">
        <v>6629</v>
      </c>
      <c r="H3884" s="3">
        <v>8</v>
      </c>
    </row>
    <row r="3885">
      <c r="A3885" s="0" t="s">
        <v>6959</v>
      </c>
      <c r="B3885" s="0" t="s">
        <v>6960</v>
      </c>
      <c r="C3885" s="5">
        <f>=HYPERLINK("https://nusmods.com/modules/YSS3341#timetable","Timetable")</f>
      </c>
      <c r="D3885" s="5"/>
      <c r="E3885" s="5"/>
      <c r="F3885" s="0" t="s">
        <v>6629</v>
      </c>
      <c r="G3885" s="0" t="s">
        <v>6629</v>
      </c>
      <c r="H3885" s="3">
        <v>18</v>
      </c>
    </row>
    <row r="3886">
      <c r="A3886" s="0" t="s">
        <v>6961</v>
      </c>
      <c r="B3886" s="0" t="s">
        <v>6962</v>
      </c>
      <c r="C3886" s="5">
        <f>=HYPERLINK("https://nusmods.com/modules/YSS3342#timetable","Timetable")</f>
      </c>
      <c r="D3886" s="5"/>
      <c r="E3886" s="5"/>
      <c r="F3886" s="0" t="s">
        <v>6629</v>
      </c>
      <c r="G3886" s="0" t="s">
        <v>6629</v>
      </c>
      <c r="H3886" s="3">
        <v>16</v>
      </c>
    </row>
    <row r="3887">
      <c r="A3887" s="0" t="s">
        <v>6963</v>
      </c>
      <c r="B3887" s="0" t="s">
        <v>6964</v>
      </c>
      <c r="C3887" s="5">
        <f>=HYPERLINK("https://nusmods.com/modules/YSS3343#timetable","Timetable")</f>
      </c>
      <c r="D3887" s="5"/>
      <c r="E3887" s="5"/>
      <c r="F3887" s="0" t="s">
        <v>6629</v>
      </c>
      <c r="G3887" s="0" t="s">
        <v>6629</v>
      </c>
      <c r="H3887" s="3">
        <v>3</v>
      </c>
    </row>
    <row r="3888">
      <c r="A3888" s="0" t="s">
        <v>6965</v>
      </c>
      <c r="B3888" s="0" t="s">
        <v>6966</v>
      </c>
      <c r="C3888" s="5">
        <f>=HYPERLINK("https://nusmods.com/modules/YSS4101#timetable","Timetable")</f>
      </c>
      <c r="D3888" s="5"/>
      <c r="E3888" s="5"/>
      <c r="F3888" s="0" t="s">
        <v>6629</v>
      </c>
      <c r="G3888" s="0" t="s">
        <v>6629</v>
      </c>
      <c r="H3888" s="3">
        <v>19</v>
      </c>
    </row>
    <row r="3889">
      <c r="A3889" s="0" t="s">
        <v>6967</v>
      </c>
      <c r="B3889" s="0" t="s">
        <v>6968</v>
      </c>
      <c r="C3889" s="5">
        <f>=HYPERLINK("https://nusmods.com/modules/YSS4102#timetable","Timetable")</f>
      </c>
      <c r="D3889" s="5"/>
      <c r="E3889" s="5"/>
      <c r="F3889" s="0" t="s">
        <v>6629</v>
      </c>
      <c r="G3889" s="0" t="s">
        <v>6629</v>
      </c>
      <c r="H3889" s="3">
        <v>21</v>
      </c>
    </row>
    <row r="3890">
      <c r="A3890" s="0" t="s">
        <v>6969</v>
      </c>
      <c r="B3890" s="0" t="s">
        <v>6970</v>
      </c>
      <c r="C3890" s="5">
        <f>=HYPERLINK("https://nusmods.com/modules/YSS4103#timetable","Timetable")</f>
      </c>
      <c r="D3890" s="5"/>
      <c r="E3890" s="5"/>
      <c r="F3890" s="0" t="s">
        <v>6629</v>
      </c>
      <c r="G3890" s="0" t="s">
        <v>6629</v>
      </c>
      <c r="H3890" s="3">
        <v>16</v>
      </c>
    </row>
    <row r="3891">
      <c r="A3891" s="0" t="s">
        <v>6971</v>
      </c>
      <c r="B3891" s="0" t="s">
        <v>6972</v>
      </c>
      <c r="C3891" s="5">
        <f>=HYPERLINK("https://nusmods.com/modules/YSS4104#timetable","Timetable")</f>
      </c>
      <c r="D3891" s="5"/>
      <c r="E3891" s="5"/>
      <c r="F3891" s="0" t="s">
        <v>6629</v>
      </c>
      <c r="G3891" s="0" t="s">
        <v>6629</v>
      </c>
      <c r="H3891" s="3">
        <v>16</v>
      </c>
    </row>
    <row r="3892">
      <c r="A3892" s="0" t="s">
        <v>6973</v>
      </c>
      <c r="B3892" s="0" t="s">
        <v>6974</v>
      </c>
      <c r="C3892" s="5">
        <f>=HYPERLINK("https://nusmods.com/modules/YSS4105#timetable","Timetable")</f>
      </c>
      <c r="D3892" s="5"/>
      <c r="E3892" s="5"/>
      <c r="F3892" s="0" t="s">
        <v>6629</v>
      </c>
      <c r="G3892" s="0" t="s">
        <v>6629</v>
      </c>
      <c r="H3892" s="3">
        <v>10</v>
      </c>
    </row>
    <row r="3893">
      <c r="A3893" s="0" t="s">
        <v>6975</v>
      </c>
      <c r="B3893" s="0" t="s">
        <v>6976</v>
      </c>
      <c r="C3893" s="5">
        <f>=HYPERLINK("https://nusmods.com/modules/YSS4106#timetable","Timetable")</f>
      </c>
      <c r="D3893" s="5"/>
      <c r="E3893" s="5"/>
      <c r="F3893" s="0" t="s">
        <v>6629</v>
      </c>
      <c r="G3893" s="0" t="s">
        <v>6629</v>
      </c>
      <c r="H3893" s="3">
        <v>8</v>
      </c>
    </row>
    <row r="3894">
      <c r="A3894" s="0" t="s">
        <v>6977</v>
      </c>
      <c r="B3894" s="0" t="s">
        <v>4967</v>
      </c>
      <c r="C3894" s="5">
        <f>=HYPERLINK("https://nusmods.com/modules/YSS4107#timetable","Timetable")</f>
      </c>
      <c r="D3894" s="5"/>
      <c r="E3894" s="5"/>
      <c r="F3894" s="0" t="s">
        <v>6629</v>
      </c>
      <c r="G3894" s="0" t="s">
        <v>6629</v>
      </c>
      <c r="H3894" s="3">
        <v>8</v>
      </c>
    </row>
    <row r="3895">
      <c r="A3895" s="0" t="s">
        <v>6978</v>
      </c>
      <c r="B3895" s="0" t="s">
        <v>6979</v>
      </c>
      <c r="C3895" s="5">
        <f>=HYPERLINK("https://nusmods.com/modules/YSS4206C#timetable","Timetable")</f>
      </c>
      <c r="D3895" s="5"/>
      <c r="E3895" s="5"/>
      <c r="F3895" s="0" t="s">
        <v>6629</v>
      </c>
      <c r="G3895" s="0" t="s">
        <v>6629</v>
      </c>
      <c r="H3895" s="3">
        <v>17</v>
      </c>
    </row>
    <row r="3896">
      <c r="A3896" s="0" t="s">
        <v>6980</v>
      </c>
      <c r="B3896" s="0" t="s">
        <v>6981</v>
      </c>
      <c r="C3896" s="5">
        <f>=HYPERLINK("https://nusmods.com/modules/YSS4211#timetable","Timetable")</f>
      </c>
      <c r="D3896" s="5"/>
      <c r="E3896" s="5"/>
      <c r="F3896" s="0" t="s">
        <v>6629</v>
      </c>
      <c r="G3896" s="0" t="s">
        <v>6629</v>
      </c>
      <c r="H3896" s="3">
        <v>9</v>
      </c>
    </row>
    <row r="3897">
      <c r="A3897" s="0" t="s">
        <v>6982</v>
      </c>
      <c r="B3897" s="0" t="s">
        <v>6983</v>
      </c>
      <c r="C3897" s="5">
        <f>=HYPERLINK("https://nusmods.com/modules/YSS4226#timetable","Timetable")</f>
      </c>
      <c r="D3897" s="5"/>
      <c r="E3897" s="5"/>
      <c r="F3897" s="0" t="s">
        <v>6629</v>
      </c>
      <c r="G3897" s="0" t="s">
        <v>6629</v>
      </c>
      <c r="H3897" s="3">
        <v>14</v>
      </c>
    </row>
    <row r="3898">
      <c r="A3898" s="0" t="s">
        <v>6984</v>
      </c>
      <c r="B3898" s="0" t="s">
        <v>6985</v>
      </c>
      <c r="C3898" s="5">
        <f>=HYPERLINK("https://nusmods.com/modules/YSS4227#timetable","Timetable")</f>
      </c>
      <c r="D3898" s="5"/>
      <c r="E3898" s="5"/>
      <c r="F3898" s="0" t="s">
        <v>6629</v>
      </c>
      <c r="G3898" s="0" t="s">
        <v>6629</v>
      </c>
      <c r="H3898" s="3">
        <v>7</v>
      </c>
    </row>
    <row r="3899">
      <c r="A3899" s="0" t="s">
        <v>6986</v>
      </c>
      <c r="B3899" s="0" t="s">
        <v>6987</v>
      </c>
      <c r="C3899" s="5">
        <f>=HYPERLINK("https://nusmods.com/modules/YSS4234#timetable","Timetable")</f>
      </c>
      <c r="D3899" s="5"/>
      <c r="E3899" s="5">
        <f>=HYPERLINK("https://luminus.nus.edu.sg/modules/7d4efcb6-c51b-4b06-831e-15d3f4240d91","LumiNUS course site")</f>
      </c>
      <c r="F3899" s="0" t="s">
        <v>6629</v>
      </c>
      <c r="G3899" s="0" t="s">
        <v>6629</v>
      </c>
      <c r="H3899" s="3">
        <v>16</v>
      </c>
    </row>
    <row r="3900">
      <c r="A3900" s="0" t="s">
        <v>6988</v>
      </c>
      <c r="B3900" s="0" t="s">
        <v>6989</v>
      </c>
      <c r="C3900" s="5">
        <f>=HYPERLINK("https://nusmods.com/modules/YSS4235#timetable","Timetable")</f>
      </c>
      <c r="D3900" s="5"/>
      <c r="E3900" s="5"/>
      <c r="F3900" s="0" t="s">
        <v>6629</v>
      </c>
      <c r="G3900" s="0" t="s">
        <v>6629</v>
      </c>
      <c r="H3900" s="3">
        <v>18</v>
      </c>
    </row>
    <row r="3901">
      <c r="A3901" s="0" t="s">
        <v>6990</v>
      </c>
      <c r="B3901" s="0" t="s">
        <v>6991</v>
      </c>
      <c r="C3901" s="5">
        <f>=HYPERLINK("https://nusmods.com/modules/YSS4258#timetable","Timetable")</f>
      </c>
      <c r="D3901" s="5"/>
      <c r="E3901" s="5"/>
      <c r="F3901" s="0" t="s">
        <v>6629</v>
      </c>
      <c r="G3901" s="0" t="s">
        <v>6629</v>
      </c>
      <c r="H3901" s="3">
        <v>12</v>
      </c>
    </row>
    <row r="3902">
      <c r="A3902" s="0" t="s">
        <v>6992</v>
      </c>
      <c r="B3902" s="0" t="s">
        <v>6993</v>
      </c>
      <c r="C3902" s="5">
        <f>=HYPERLINK("https://nusmods.com/modules/YSS4268#timetable","Timetable")</f>
      </c>
      <c r="D3902" s="5"/>
      <c r="E3902" s="5"/>
      <c r="F3902" s="0" t="s">
        <v>6629</v>
      </c>
      <c r="G3902" s="0" t="s">
        <v>6629</v>
      </c>
      <c r="H3902" s="3">
        <v>17</v>
      </c>
    </row>
    <row r="3903">
      <c r="A3903" s="0" t="s">
        <v>6994</v>
      </c>
      <c r="B3903" s="0" t="s">
        <v>6995</v>
      </c>
      <c r="C3903" s="5">
        <f>=HYPERLINK("https://nusmods.com/modules/YSS4271#timetable","Timetable")</f>
      </c>
      <c r="D3903" s="5"/>
      <c r="E3903" s="5"/>
      <c r="F3903" s="0" t="s">
        <v>6629</v>
      </c>
      <c r="G3903" s="0" t="s">
        <v>6629</v>
      </c>
      <c r="H3903" s="3">
        <v>15</v>
      </c>
    </row>
    <row r="3904">
      <c r="A3904" s="0" t="s">
        <v>6996</v>
      </c>
      <c r="B3904" s="0" t="s">
        <v>6997</v>
      </c>
      <c r="C3904" s="5">
        <f>=HYPERLINK("https://nusmods.com/modules/YSS4275#timetable","Timetable")</f>
      </c>
      <c r="D3904" s="5"/>
      <c r="E3904" s="5"/>
      <c r="F3904" s="0" t="s">
        <v>6629</v>
      </c>
      <c r="G3904" s="0" t="s">
        <v>6629</v>
      </c>
      <c r="H3904" s="3">
        <v>17</v>
      </c>
    </row>
    <row r="3905">
      <c r="A3905" s="0" t="s">
        <v>6998</v>
      </c>
      <c r="B3905" s="0" t="s">
        <v>6999</v>
      </c>
      <c r="C3905" s="5">
        <f>=HYPERLINK("https://nusmods.com/modules/YSS4276#timetable","Timetable")</f>
      </c>
      <c r="D3905" s="5"/>
      <c r="E3905" s="5"/>
      <c r="F3905" s="0" t="s">
        <v>6629</v>
      </c>
      <c r="G3905" s="0" t="s">
        <v>6629</v>
      </c>
      <c r="H3905" s="3">
        <v>5</v>
      </c>
    </row>
    <row r="3906">
      <c r="A3906" s="0" t="s">
        <v>7000</v>
      </c>
      <c r="B3906" s="0" t="s">
        <v>7001</v>
      </c>
      <c r="C3906" s="5">
        <f>=HYPERLINK("https://nusmods.com/modules/YSS4278#timetable","Timetable")</f>
      </c>
      <c r="D3906" s="5"/>
      <c r="E3906" s="5"/>
      <c r="F3906" s="0" t="s">
        <v>6629</v>
      </c>
      <c r="G3906" s="0" t="s">
        <v>6629</v>
      </c>
      <c r="H3906" s="3">
        <v>4</v>
      </c>
    </row>
    <row r="3907">
      <c r="A3907" s="0" t="s">
        <v>7002</v>
      </c>
      <c r="B3907" s="0" t="s">
        <v>7003</v>
      </c>
      <c r="C3907" s="5">
        <f>=HYPERLINK("https://nusmods.com/modules/YSS4279#timetable","Timetable")</f>
      </c>
      <c r="D3907" s="5"/>
      <c r="E3907" s="5"/>
      <c r="F3907" s="0" t="s">
        <v>6629</v>
      </c>
      <c r="G3907" s="0" t="s">
        <v>6629</v>
      </c>
      <c r="H3907" s="3">
        <v>16</v>
      </c>
    </row>
    <row r="3908">
      <c r="A3908" s="0" t="s">
        <v>7004</v>
      </c>
      <c r="B3908" s="0" t="s">
        <v>7005</v>
      </c>
      <c r="C3908" s="5">
        <f>=HYPERLINK("https://nusmods.com/modules/YSS4280#timetable","Timetable")</f>
      </c>
      <c r="D3908" s="5"/>
      <c r="E3908" s="5"/>
      <c r="F3908" s="0" t="s">
        <v>6629</v>
      </c>
      <c r="G3908" s="0" t="s">
        <v>6629</v>
      </c>
      <c r="H3908" s="3">
        <v>7</v>
      </c>
    </row>
    <row r="3909">
      <c r="A3909" s="0" t="s">
        <v>7006</v>
      </c>
      <c r="B3909" s="0" t="s">
        <v>7007</v>
      </c>
      <c r="C3909" s="5">
        <f>=HYPERLINK("https://nusmods.com/modules/ZB3288#timetable","Timetable")</f>
      </c>
      <c r="D3909" s="5"/>
      <c r="E3909" s="5"/>
      <c r="F3909" s="0" t="s">
        <v>266</v>
      </c>
      <c r="G3909" s="0" t="s">
        <v>1536</v>
      </c>
      <c r="H3909" s="3">
        <v>6</v>
      </c>
    </row>
    <row r="3910">
      <c r="A3910" s="0" t="s">
        <v>7008</v>
      </c>
      <c r="B3910" s="0" t="s">
        <v>7009</v>
      </c>
      <c r="C3910" s="5">
        <f>=HYPERLINK("https://nusmods.com/modules/ZB3289#timetable","Timetable")</f>
      </c>
      <c r="D3910" s="5"/>
      <c r="E3910" s="5"/>
      <c r="F3910" s="0" t="s">
        <v>266</v>
      </c>
      <c r="G3910" s="0" t="s">
        <v>1536</v>
      </c>
      <c r="H3910" s="3">
        <v>0</v>
      </c>
    </row>
    <row r="3911">
      <c r="A3911" s="0" t="s">
        <v>7010</v>
      </c>
      <c r="B3911" s="0" t="s">
        <v>3845</v>
      </c>
      <c r="C3911" s="5">
        <f>=HYPERLINK("https://nusmods.com/modules/ZB3311#timetable","Timetable")</f>
      </c>
      <c r="D3911" s="5"/>
      <c r="E3911" s="5"/>
      <c r="F3911" s="0" t="s">
        <v>266</v>
      </c>
      <c r="G3911" s="0" t="s">
        <v>1536</v>
      </c>
      <c r="H3911" s="3">
        <v>0</v>
      </c>
    </row>
    <row r="3912">
      <c r="A3912" s="0" t="s">
        <v>7011</v>
      </c>
      <c r="B3912" s="0" t="s">
        <v>1089</v>
      </c>
      <c r="C3912" s="5">
        <f>=HYPERLINK("https://nusmods.com/modules/ZB3312#timetable","Timetable")</f>
      </c>
      <c r="D3912" s="5"/>
      <c r="E3912" s="5"/>
      <c r="F3912" s="0" t="s">
        <v>266</v>
      </c>
      <c r="G3912" s="0" t="s">
        <v>1536</v>
      </c>
      <c r="H3912" s="3">
        <v>0</v>
      </c>
    </row>
    <row r="3913">
      <c r="A3913" s="0" t="s">
        <v>7012</v>
      </c>
      <c r="B3913" s="0" t="s">
        <v>7013</v>
      </c>
      <c r="C3913" s="5">
        <f>=HYPERLINK("https://nusmods.com/modules/ZB4171#timetable","Timetable")</f>
      </c>
      <c r="D3913" s="5">
        <f>=HYPERLINK("https://canvas.nus.edu.sg/courses/25923","Canvas course site")</f>
      </c>
      <c r="E3913" s="5"/>
      <c r="F3913" s="0" t="s">
        <v>266</v>
      </c>
      <c r="G3913" s="0" t="s">
        <v>267</v>
      </c>
      <c r="H3913" s="3">
        <v>24</v>
      </c>
    </row>
    <row r="3914">
      <c r="A3914" s="0" t="s">
        <v>7014</v>
      </c>
      <c r="B3914" s="0" t="s">
        <v>7015</v>
      </c>
      <c r="C3914" s="5">
        <f>=HYPERLINK("https://nusmods.com/modules/ZB4199#timetable","Timetable")</f>
      </c>
      <c r="D3914" s="5"/>
      <c r="E3914" s="5">
        <f>=HYPERLINK("https://luminus.nus.edu.sg/modules/efcab0a6-758b-4458-abbc-0394995bfaf6","LumiNUS course site")</f>
      </c>
      <c r="F3914" s="0" t="s">
        <v>266</v>
      </c>
      <c r="G3914" s="0" t="s">
        <v>1536</v>
      </c>
      <c r="H3914" s="3">
        <v>7</v>
      </c>
    </row>
    <row r="3915">
      <c r="A3915" s="0" t="s">
        <v>7016</v>
      </c>
      <c r="B3915" s="0" t="s">
        <v>7017</v>
      </c>
      <c r="C3915" s="5">
        <f>=HYPERLINK("https://nusmods.com/modules/ZB4299#timetable","Timetable")</f>
      </c>
      <c r="D3915" s="5">
        <f>=HYPERLINK("https://canvas.nus.edu.sg/courses/25933","Canvas course site")</f>
      </c>
      <c r="E3915" s="5">
        <f>=HYPERLINK("https://luminus.nus.edu.sg/modules/ba82c3d9-a1d1-47d8-ad97-211ac4b22d4f","LumiNUS course site")</f>
      </c>
      <c r="F3915" s="0" t="s">
        <v>266</v>
      </c>
      <c r="G3915" s="0" t="s">
        <v>1536</v>
      </c>
      <c r="H3915" s="3">
        <v>2</v>
      </c>
    </row>
  </sheetData>
  <autoFilter ref="A1:H1"/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Published Courses</vt:lpstr>
      <vt:lpstr>'Published Courses'!_FilterDatabase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Khor Sze Nee, Candice</dc:creator>
  <cp:lastModifiedBy>Zarli Myaing</cp:lastModifiedBy>
  <dcterms:created xsi:type="dcterms:W3CDTF">2022-07-22T11:06:20Z</dcterms:created>
  <dcterms:modified xsi:type="dcterms:W3CDTF">2022-08-16T06:54:55Z</dcterms:modified>
</cp:coreProperties>
</file>