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 firstSheet="3" activeTab="7"/>
  </bookViews>
  <sheets>
    <sheet name="Different Planes" sheetId="2" r:id="rId1"/>
    <sheet name="Pileup Profiles" sheetId="4" r:id="rId2"/>
    <sheet name="Pileup Profiles 2" sheetId="5" r:id="rId3"/>
    <sheet name="Cutoff Area Changes" sheetId="6" r:id="rId4"/>
    <sheet name="Before and After Gold 200nm" sheetId="7" r:id="rId5"/>
    <sheet name="LP, AFM" sheetId="8" r:id="rId6"/>
    <sheet name="Human Error" sheetId="9" r:id="rId7"/>
    <sheet name="Diagonals" sheetId="10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10" l="1"/>
  <c r="M22" i="10"/>
  <c r="L16" i="10"/>
  <c r="M16" i="10"/>
  <c r="M10" i="10"/>
  <c r="L23" i="10"/>
  <c r="M23" i="10"/>
  <c r="N22" i="10"/>
  <c r="L17" i="10"/>
  <c r="M17" i="10"/>
  <c r="N16" i="10"/>
  <c r="L10" i="10"/>
  <c r="L11" i="10"/>
  <c r="M11" i="10"/>
  <c r="N10" i="10"/>
  <c r="Y8" i="8"/>
  <c r="Y7" i="8"/>
  <c r="AT17" i="6"/>
  <c r="AR17" i="6"/>
  <c r="AP17" i="6"/>
  <c r="AN17" i="6"/>
  <c r="AT16" i="6"/>
  <c r="AR16" i="6"/>
  <c r="AP16" i="6"/>
  <c r="AN16" i="6"/>
  <c r="AT4" i="6"/>
  <c r="AT5" i="6"/>
  <c r="AT6" i="6"/>
  <c r="AT7" i="6"/>
  <c r="AT8" i="6"/>
  <c r="AT9" i="6"/>
  <c r="AT10" i="6"/>
  <c r="AT11" i="6"/>
  <c r="AT12" i="6"/>
  <c r="AT13" i="6"/>
  <c r="AT14" i="6"/>
  <c r="AT3" i="6"/>
  <c r="AR4" i="6"/>
  <c r="AR5" i="6"/>
  <c r="AR6" i="6"/>
  <c r="AR7" i="6"/>
  <c r="AR8" i="6"/>
  <c r="AR9" i="6"/>
  <c r="AR10" i="6"/>
  <c r="AR11" i="6"/>
  <c r="AR12" i="6"/>
  <c r="AR13" i="6"/>
  <c r="AR14" i="6"/>
  <c r="AR3" i="6"/>
  <c r="AP4" i="6"/>
  <c r="AP5" i="6"/>
  <c r="AP6" i="6"/>
  <c r="AP7" i="6"/>
  <c r="AP8" i="6"/>
  <c r="AP9" i="6"/>
  <c r="AP10" i="6"/>
  <c r="AP11" i="6"/>
  <c r="AP12" i="6"/>
  <c r="AP13" i="6"/>
  <c r="AP14" i="6"/>
  <c r="AP3" i="6"/>
  <c r="AN4" i="6"/>
  <c r="AN5" i="6"/>
  <c r="AN6" i="6"/>
  <c r="AN7" i="6"/>
  <c r="AN8" i="6"/>
  <c r="AN9" i="6"/>
  <c r="AN10" i="6"/>
  <c r="AN11" i="6"/>
  <c r="AN12" i="6"/>
  <c r="AN13" i="6"/>
  <c r="AN14" i="6"/>
  <c r="AN3" i="6"/>
  <c r="K22" i="10"/>
  <c r="K16" i="10"/>
  <c r="K10" i="10"/>
  <c r="AO9" i="9"/>
  <c r="AO8" i="9"/>
  <c r="AO7" i="9"/>
  <c r="AN9" i="9"/>
  <c r="AN8" i="9"/>
  <c r="AN7" i="9"/>
  <c r="I10" i="10"/>
  <c r="J10" i="10"/>
  <c r="I11" i="10"/>
  <c r="J11" i="10"/>
  <c r="I16" i="10"/>
  <c r="J16" i="10"/>
  <c r="I17" i="10"/>
  <c r="J17" i="10"/>
  <c r="J22" i="10"/>
  <c r="J23" i="10"/>
  <c r="I23" i="10"/>
  <c r="I22" i="10"/>
  <c r="C11" i="10"/>
  <c r="C10" i="10"/>
  <c r="Q20" i="8"/>
  <c r="R20" i="8"/>
  <c r="Q21" i="8"/>
  <c r="R21" i="8"/>
  <c r="Q14" i="8"/>
  <c r="R14" i="8"/>
  <c r="Q15" i="8"/>
  <c r="R15" i="8"/>
  <c r="R9" i="8"/>
  <c r="R8" i="8"/>
  <c r="Q9" i="8"/>
  <c r="Q8" i="8"/>
  <c r="M20" i="8"/>
  <c r="N20" i="8"/>
  <c r="M21" i="8"/>
  <c r="N21" i="8"/>
  <c r="M14" i="8"/>
  <c r="N14" i="8"/>
  <c r="M15" i="8"/>
  <c r="N15" i="8"/>
  <c r="M8" i="8"/>
  <c r="N8" i="8"/>
  <c r="M9" i="8"/>
  <c r="N9" i="8"/>
  <c r="AM9" i="9"/>
  <c r="AM8" i="9"/>
  <c r="AM7" i="9"/>
  <c r="AL9" i="9"/>
  <c r="AL8" i="9"/>
  <c r="AL7" i="9"/>
  <c r="AK9" i="9"/>
  <c r="AK8" i="9"/>
  <c r="AK7" i="9"/>
  <c r="AJ9" i="9"/>
  <c r="AJ8" i="9"/>
  <c r="AJ7" i="9"/>
  <c r="X24" i="9"/>
  <c r="X23" i="9"/>
  <c r="T24" i="9"/>
  <c r="T23" i="9"/>
  <c r="T20" i="9"/>
  <c r="T21" i="9"/>
  <c r="T22" i="9"/>
  <c r="T19" i="9"/>
  <c r="X20" i="9"/>
  <c r="X21" i="9"/>
  <c r="X22" i="9"/>
  <c r="X19" i="9"/>
  <c r="X18" i="9"/>
  <c r="X17" i="9"/>
  <c r="X14" i="9"/>
  <c r="X15" i="9"/>
  <c r="X16" i="9"/>
  <c r="X13" i="9"/>
  <c r="T18" i="9"/>
  <c r="T17" i="9"/>
  <c r="T14" i="9"/>
  <c r="T15" i="9"/>
  <c r="T16" i="9"/>
  <c r="T13" i="9"/>
  <c r="X12" i="9"/>
  <c r="X11" i="9"/>
  <c r="X8" i="9"/>
  <c r="X9" i="9"/>
  <c r="X10" i="9"/>
  <c r="X7" i="9"/>
  <c r="T12" i="9"/>
  <c r="T11" i="9"/>
  <c r="T8" i="9"/>
  <c r="T9" i="9"/>
  <c r="T10" i="9"/>
  <c r="T7" i="9"/>
  <c r="S14" i="9"/>
  <c r="S15" i="9"/>
  <c r="S16" i="9"/>
  <c r="S18" i="9"/>
  <c r="S17" i="9"/>
  <c r="C20" i="9"/>
  <c r="W20" i="9"/>
  <c r="C19" i="9"/>
  <c r="W19" i="9"/>
  <c r="C21" i="9"/>
  <c r="W21" i="9"/>
  <c r="C22" i="9"/>
  <c r="W22" i="9"/>
  <c r="W24" i="9"/>
  <c r="W23" i="9"/>
  <c r="S19" i="9"/>
  <c r="S20" i="9"/>
  <c r="S21" i="9"/>
  <c r="S22" i="9"/>
  <c r="S24" i="9"/>
  <c r="S23" i="9"/>
  <c r="C14" i="9"/>
  <c r="W14" i="9"/>
  <c r="C15" i="9"/>
  <c r="W15" i="9"/>
  <c r="C16" i="9"/>
  <c r="W16" i="9"/>
  <c r="C13" i="9"/>
  <c r="W13" i="9"/>
  <c r="W18" i="9"/>
  <c r="W17" i="9"/>
  <c r="S13" i="9"/>
  <c r="C7" i="9"/>
  <c r="W7" i="9"/>
  <c r="C8" i="9"/>
  <c r="W8" i="9"/>
  <c r="C9" i="9"/>
  <c r="W9" i="9"/>
  <c r="C10" i="9"/>
  <c r="W10" i="9"/>
  <c r="W12" i="9"/>
  <c r="W11" i="9"/>
  <c r="S7" i="9"/>
  <c r="S8" i="9"/>
  <c r="S9" i="9"/>
  <c r="S10" i="9"/>
  <c r="S12" i="9"/>
  <c r="S11" i="9"/>
  <c r="N7" i="9"/>
  <c r="O7" i="9"/>
  <c r="N13" i="9"/>
  <c r="O13" i="9"/>
  <c r="N21" i="9"/>
  <c r="O21" i="9"/>
  <c r="N22" i="9"/>
  <c r="O22" i="9"/>
  <c r="N20" i="9"/>
  <c r="O20" i="9"/>
  <c r="N19" i="9"/>
  <c r="O19" i="9"/>
  <c r="O24" i="9"/>
  <c r="AF9" i="9"/>
  <c r="N14" i="9"/>
  <c r="O14" i="9"/>
  <c r="N15" i="9"/>
  <c r="O15" i="9"/>
  <c r="N16" i="9"/>
  <c r="O16" i="9"/>
  <c r="O18" i="9"/>
  <c r="AF8" i="9"/>
  <c r="N9" i="9"/>
  <c r="O9" i="9"/>
  <c r="N10" i="9"/>
  <c r="O10" i="9"/>
  <c r="N8" i="9"/>
  <c r="O8" i="9"/>
  <c r="O12" i="9"/>
  <c r="AF7" i="9"/>
  <c r="O23" i="9"/>
  <c r="AE9" i="9"/>
  <c r="O17" i="9"/>
  <c r="AE8" i="9"/>
  <c r="O11" i="9"/>
  <c r="AE7" i="9"/>
  <c r="F21" i="8"/>
  <c r="F15" i="8"/>
  <c r="F9" i="8"/>
  <c r="S21" i="8"/>
  <c r="S15" i="8"/>
  <c r="S9" i="8"/>
  <c r="O21" i="8"/>
  <c r="O15" i="8"/>
  <c r="O9" i="8"/>
  <c r="G21" i="8"/>
  <c r="G15" i="8"/>
  <c r="G9" i="8"/>
  <c r="AA14" i="8"/>
  <c r="AA13" i="8"/>
  <c r="AA12" i="8"/>
  <c r="Y14" i="8"/>
  <c r="Y13" i="8"/>
  <c r="Y12" i="8"/>
  <c r="W14" i="8"/>
  <c r="W13" i="8"/>
  <c r="W12" i="8"/>
  <c r="V13" i="8"/>
  <c r="Z13" i="8"/>
  <c r="Z17" i="8"/>
  <c r="V14" i="8"/>
  <c r="Z14" i="8"/>
  <c r="Z18" i="8"/>
  <c r="V12" i="8"/>
  <c r="Z12" i="8"/>
  <c r="Z16" i="8"/>
  <c r="X17" i="8"/>
  <c r="X18" i="8"/>
  <c r="X16" i="8"/>
  <c r="X14" i="8"/>
  <c r="X13" i="8"/>
  <c r="X12" i="8"/>
  <c r="P21" i="8"/>
  <c r="P20" i="8"/>
  <c r="P15" i="8"/>
  <c r="P14" i="8"/>
  <c r="P9" i="8"/>
  <c r="P8" i="8"/>
  <c r="V7" i="8"/>
  <c r="V8" i="8"/>
  <c r="AO16" i="6"/>
  <c r="AQ16" i="6"/>
  <c r="AS16" i="6"/>
  <c r="AM16" i="6"/>
  <c r="L20" i="8"/>
  <c r="L14" i="8"/>
  <c r="L8" i="8"/>
  <c r="L21" i="8"/>
  <c r="L15" i="8"/>
  <c r="L9" i="8"/>
  <c r="AL4" i="6"/>
  <c r="AL5" i="6"/>
  <c r="AL6" i="6"/>
  <c r="AL7" i="6"/>
  <c r="AL8" i="6"/>
  <c r="AL9" i="6"/>
  <c r="AL10" i="6"/>
  <c r="AL11" i="6"/>
  <c r="AL12" i="6"/>
  <c r="AL13" i="6"/>
  <c r="AL14" i="6"/>
  <c r="AL3" i="6"/>
  <c r="L19" i="9"/>
  <c r="L20" i="9"/>
  <c r="L21" i="9"/>
  <c r="L22" i="9"/>
  <c r="L24" i="9"/>
  <c r="AD9" i="9"/>
  <c r="L13" i="9"/>
  <c r="L14" i="9"/>
  <c r="L15" i="9"/>
  <c r="L16" i="9"/>
  <c r="L18" i="9"/>
  <c r="AD8" i="9"/>
  <c r="L7" i="9"/>
  <c r="L8" i="9"/>
  <c r="L9" i="9"/>
  <c r="L10" i="9"/>
  <c r="L12" i="9"/>
  <c r="AD7" i="9"/>
  <c r="L23" i="9"/>
  <c r="AC9" i="9"/>
  <c r="L17" i="9"/>
  <c r="AC8" i="9"/>
  <c r="L11" i="9"/>
  <c r="AC7" i="9"/>
  <c r="H19" i="9"/>
  <c r="H20" i="9"/>
  <c r="H21" i="9"/>
  <c r="H22" i="9"/>
  <c r="H24" i="9"/>
  <c r="AB9" i="9"/>
  <c r="H13" i="9"/>
  <c r="H14" i="9"/>
  <c r="H15" i="9"/>
  <c r="H16" i="9"/>
  <c r="H18" i="9"/>
  <c r="AB8" i="9"/>
  <c r="H7" i="9"/>
  <c r="H8" i="9"/>
  <c r="H9" i="9"/>
  <c r="H10" i="9"/>
  <c r="H12" i="9"/>
  <c r="AB7" i="9"/>
  <c r="H23" i="9"/>
  <c r="AA9" i="9"/>
  <c r="H17" i="9"/>
  <c r="AA8" i="9"/>
  <c r="H11" i="9"/>
  <c r="AA7" i="9"/>
  <c r="K22" i="9"/>
  <c r="G22" i="9"/>
  <c r="K8" i="9"/>
  <c r="K9" i="9"/>
  <c r="K10" i="9"/>
  <c r="K13" i="9"/>
  <c r="K14" i="9"/>
  <c r="K15" i="9"/>
  <c r="K16" i="9"/>
  <c r="K19" i="9"/>
  <c r="K20" i="9"/>
  <c r="K21" i="9"/>
  <c r="K7" i="9"/>
  <c r="G8" i="9"/>
  <c r="G9" i="9"/>
  <c r="G10" i="9"/>
  <c r="G13" i="9"/>
  <c r="G14" i="9"/>
  <c r="G15" i="9"/>
  <c r="G16" i="9"/>
  <c r="G19" i="9"/>
  <c r="G20" i="9"/>
  <c r="G21" i="9"/>
  <c r="G7" i="9"/>
  <c r="J16" i="8"/>
  <c r="J17" i="8"/>
  <c r="J18" i="8"/>
  <c r="J20" i="8"/>
  <c r="J10" i="8"/>
  <c r="J12" i="8"/>
  <c r="J13" i="8"/>
  <c r="J14" i="8"/>
  <c r="J4" i="8"/>
  <c r="J5" i="8"/>
  <c r="J6" i="8"/>
  <c r="J7" i="8"/>
  <c r="J8" i="8"/>
  <c r="E20" i="8"/>
  <c r="F20" i="8"/>
  <c r="E14" i="8"/>
  <c r="F14" i="8"/>
  <c r="E8" i="8"/>
  <c r="F8" i="8"/>
  <c r="E9" i="8"/>
  <c r="E15" i="8"/>
  <c r="E21" i="8"/>
  <c r="J9" i="8"/>
  <c r="J21" i="8"/>
  <c r="J15" i="8"/>
  <c r="K12" i="8"/>
  <c r="K7" i="8"/>
  <c r="K6" i="8"/>
  <c r="K5" i="8"/>
  <c r="K4" i="8"/>
  <c r="K13" i="8"/>
  <c r="K10" i="8"/>
  <c r="K18" i="8"/>
  <c r="K17" i="8"/>
  <c r="K16" i="8"/>
  <c r="D21" i="8"/>
  <c r="D20" i="8"/>
  <c r="D15" i="8"/>
  <c r="D14" i="8"/>
  <c r="D9" i="8"/>
  <c r="D8" i="8"/>
  <c r="V18" i="6"/>
  <c r="T18" i="6"/>
  <c r="X17" i="6"/>
  <c r="W17" i="6"/>
  <c r="U17" i="6"/>
  <c r="X16" i="6"/>
  <c r="W16" i="6"/>
  <c r="U16" i="6"/>
  <c r="E15" i="7"/>
  <c r="E14" i="7"/>
  <c r="D51" i="7"/>
  <c r="D50" i="7"/>
  <c r="D39" i="7"/>
  <c r="D38" i="7"/>
  <c r="D27" i="7"/>
  <c r="D26" i="7"/>
  <c r="D15" i="7"/>
  <c r="D14" i="7"/>
  <c r="G17" i="6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<sst xmlns="http://schemas.openxmlformats.org/spreadsheetml/2006/main" count="187" uniqueCount="104">
  <si>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</si>
  <si>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</si>
  <si>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</si>
  <si>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</si>
  <si>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</si>
  <si>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</si>
  <si>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</si>
  <si>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</si>
  <si>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</si>
  <si>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</si>
  <si>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</si>
  <si>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</si>
  <si>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</si>
  <si>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</si>
  <si>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</si>
  <si>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</si>
  <si>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</si>
  <si>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</si>
  <si>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</si>
  <si>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</si>
  <si>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</si>
  <si>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</si>
  <si>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</si>
  <si>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</si>
  <si>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</si>
  <si>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</si>
  <si>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</si>
  <si>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</si>
  <si>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</si>
  <si>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</si>
  <si>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</si>
  <si>
    <t>Before Gold, Nanovea Hardness</t>
  </si>
  <si>
    <t>Sample 14 June</t>
  </si>
  <si>
    <t>40x mag</t>
  </si>
  <si>
    <t>Avg</t>
  </si>
  <si>
    <t>After Au-Pd, Nanovea Hardness</t>
  </si>
  <si>
    <t>AFM Area 1</t>
  </si>
  <si>
    <t>AFM Area 2</t>
  </si>
  <si>
    <t>Avg AFM Area</t>
  </si>
  <si>
    <t>STDEV AFM Area</t>
  </si>
  <si>
    <t>Metallization Area</t>
  </si>
  <si>
    <t>Keyence Area</t>
  </si>
  <si>
    <t>Revised Keyence Area</t>
  </si>
  <si>
    <t>Nicole calibrated it to 0, same calibration used across all experiments</t>
  </si>
  <si>
    <t>J diag 1</t>
  </si>
  <si>
    <t>J diag 2</t>
  </si>
  <si>
    <t>Diagonals all in microns</t>
  </si>
  <si>
    <t>Jackie area</t>
  </si>
  <si>
    <t>N area</t>
  </si>
  <si>
    <t>N diag 1</t>
  </si>
  <si>
    <t>N diag 2</t>
  </si>
  <si>
    <t>Jackie Vickers</t>
  </si>
  <si>
    <t>Nicole Vickers</t>
  </si>
  <si>
    <t>Load (kfg)</t>
  </si>
  <si>
    <t>Load (mN)</t>
  </si>
  <si>
    <t>Summary</t>
  </si>
  <si>
    <t>Laser Profiler 245.2 mN</t>
  </si>
  <si>
    <t>AFM 245.2 mN</t>
  </si>
  <si>
    <t>Laser Profiler 2942 mN</t>
  </si>
  <si>
    <t>AFM 2942 mN</t>
  </si>
  <si>
    <t>in nm</t>
  </si>
  <si>
    <t>Redone AFM Area</t>
  </si>
  <si>
    <t>Calibration: µm per pixel</t>
  </si>
  <si>
    <t>AFM</t>
  </si>
  <si>
    <t>Laser Profiler</t>
  </si>
  <si>
    <t>Metallization</t>
  </si>
  <si>
    <t>Error</t>
  </si>
  <si>
    <t>User 1</t>
  </si>
  <si>
    <t>User 2</t>
  </si>
  <si>
    <t>User 1 Error</t>
  </si>
  <si>
    <t>User 2 Error</t>
  </si>
  <si>
    <t>Software Area</t>
  </si>
  <si>
    <t>Software Vickers</t>
  </si>
  <si>
    <t>Software Avg Diag</t>
  </si>
  <si>
    <t>Software</t>
  </si>
  <si>
    <t>Software 2 Error</t>
  </si>
  <si>
    <t>Jackie Glass 1</t>
  </si>
  <si>
    <t>Jackie Glass 2</t>
  </si>
  <si>
    <t>Nicole Glass 1</t>
  </si>
  <si>
    <t>Nicole Glass 2</t>
  </si>
  <si>
    <t>Nicole calibrated these once</t>
  </si>
  <si>
    <t>FOR GLASS</t>
  </si>
  <si>
    <t>Jackie Meyer</t>
  </si>
  <si>
    <t>Nicole Meyer</t>
  </si>
  <si>
    <t>Redone AFM #2</t>
  </si>
  <si>
    <t>0.4 threshold</t>
  </si>
  <si>
    <t>0.55 threshold</t>
  </si>
  <si>
    <t>Metallization #2</t>
  </si>
  <si>
    <t>Diagonal Area</t>
  </si>
  <si>
    <t>Some variability</t>
  </si>
  <si>
    <t>2942, #4</t>
  </si>
  <si>
    <t>Try 1</t>
  </si>
  <si>
    <t>Try 2</t>
  </si>
  <si>
    <t>Try 3</t>
  </si>
  <si>
    <t>Try 4</t>
  </si>
  <si>
    <t>Stdev</t>
  </si>
  <si>
    <t>AFM Square error</t>
  </si>
  <si>
    <t>AFM Diagonals</t>
  </si>
  <si>
    <t>CLSM, 245.2 mN</t>
  </si>
  <si>
    <t>AFM, 245.2 mN</t>
  </si>
  <si>
    <t>CLSM, 2942 mN</t>
  </si>
  <si>
    <t>AFM, 2942 mN</t>
  </si>
  <si>
    <t>CLSM</t>
  </si>
  <si>
    <t>LP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</si>
</sst>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"/>
    <numFmt numFmtId="167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0" fontId="3" fillId="8" borderId="0" xfId="0" applyFont="1" applyFill="1"/>
    <xf numFmtId="165" fontId="3" fillId="8" borderId="0" xfId="0" applyNumberFormat="1" applyFont="1" applyFill="1"/>
    <xf numFmtId="165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5" fillId="9" borderId="0" xfId="0" applyFont="1" applyFill="1"/>
    <xf numFmtId="0" fontId="6" fillId="9" borderId="0" xfId="0" applyFont="1" applyFill="1"/>
    <xf numFmtId="0" fontId="3" fillId="9" borderId="0" xfId="0" applyFont="1" applyFill="1"/>
    <xf numFmtId="165" fontId="3" fillId="9" borderId="0" xfId="0" applyNumberFormat="1" applyFont="1" applyFill="1"/>
    <xf numFmtId="165" fontId="0" fillId="9" borderId="0" xfId="0" applyNumberFormat="1" applyFill="1"/>
    <xf numFmtId="0" fontId="4" fillId="2" borderId="0" xfId="0" applyFont="1" applyFill="1"/>
    <xf numFmtId="2" fontId="0" fillId="2" borderId="0" xfId="0" applyNumberForma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165" fontId="3" fillId="2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 applyFill="1"/>
    <xf numFmtId="164" fontId="0" fillId="9" borderId="0" xfId="0" applyNumberFormat="1" applyFill="1"/>
    <xf numFmtId="2" fontId="0" fillId="0" borderId="0" xfId="0" applyNumberFormat="1" applyFill="1"/>
    <xf numFmtId="0" fontId="0" fillId="10" borderId="0" xfId="0" applyFill="1"/>
    <xf numFmtId="2" fontId="0" fillId="10" borderId="0" xfId="0" applyNumberFormat="1" applyFill="1"/>
    <xf numFmtId="165" fontId="0" fillId="10" borderId="0" xfId="0" applyNumberFormat="1" applyFill="1"/>
    <xf numFmtId="165" fontId="3" fillId="10" borderId="0" xfId="0" applyNumberFormat="1" applyFont="1" applyFill="1"/>
    <xf numFmtId="166" fontId="0" fillId="0" borderId="0" xfId="0" applyNumberFormat="1"/>
    <xf numFmtId="166" fontId="0" fillId="9" borderId="0" xfId="0" applyNumberFormat="1" applyFill="1"/>
    <xf numFmtId="166" fontId="6" fillId="9" borderId="0" xfId="0" applyNumberFormat="1" applyFont="1" applyFill="1"/>
    <xf numFmtId="166" fontId="0" fillId="8" borderId="0" xfId="0" applyNumberFormat="1" applyFill="1"/>
    <xf numFmtId="166" fontId="0" fillId="2" borderId="0" xfId="0" applyNumberFormat="1" applyFill="1"/>
    <xf numFmtId="167" fontId="0" fillId="0" borderId="0" xfId="0" applyNumberFormat="1"/>
    <xf numFmtId="164" fontId="0" fillId="0" borderId="0" xfId="0" applyNumberFormat="1" applyFill="1"/>
    <xf numFmtId="2" fontId="3" fillId="8" borderId="0" xfId="0" applyNumberFormat="1" applyFont="1" applyFill="1"/>
    <xf numFmtId="2" fontId="3" fillId="9" borderId="0" xfId="0" applyNumberFormat="1" applyFont="1" applyFill="1"/>
    <xf numFmtId="2" fontId="3" fillId="10" borderId="0" xfId="0" applyNumberFormat="1" applyFont="1" applyFill="1"/>
  </cellXfs>
  <cellStyles count="4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98040"/>
        <c:axId val="2108400856"/>
      </c:scatterChart>
      <c:valAx>
        <c:axId val="210839804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400856"/>
        <c:crosses val="autoZero"/>
        <c:crossBetween val="midCat"/>
      </c:valAx>
      <c:valAx>
        <c:axId val="2108400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39804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25872974624"/>
          <c:y val="0.0911206037690397"/>
          <c:w val="0.709733806528768"/>
          <c:h val="0.689473186904354"/>
        </c:manualLayout>
      </c:layout>
      <c:scatterChart>
        <c:scatterStyle val="smoothMarker"/>
        <c:varyColors val="0"/>
        <c:ser>
          <c:idx val="0"/>
          <c:order val="0"/>
          <c:tx>
            <c:v>490.3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 mN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96456"/>
        <c:axId val="2108271336"/>
      </c:scatterChart>
      <c:valAx>
        <c:axId val="2108296456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from Surface Plane [µm]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71336"/>
        <c:crosses val="autoZero"/>
        <c:crossBetween val="midCat"/>
      </c:valAx>
      <c:valAx>
        <c:axId val="2108271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96456"/>
        <c:crosses val="max"/>
        <c:crossBetween val="midCat"/>
      </c:valAx>
    </c:plotArea>
    <c:legend>
      <c:legendPos val="r"/>
      <c:layout>
        <c:manualLayout>
          <c:xMode val="edge"/>
          <c:yMode val="edge"/>
          <c:x val="0.804190359448318"/>
          <c:y val="0.22866656940961"/>
          <c:w val="0.175435625789064"/>
          <c:h val="0.45049053379068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00221695589"/>
          <c:y val="0.0601851851851852"/>
          <c:w val="0.782733544836022"/>
          <c:h val="0.785350513427624"/>
        </c:manualLayout>
      </c:layout>
      <c:scatterChart>
        <c:scatterStyle val="smoothMarker"/>
        <c:varyColors val="0"/>
        <c:ser>
          <c:idx val="0"/>
          <c:order val="0"/>
          <c:tx>
            <c:v>AFM,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Changes'!$AO$3:$AO$14</c:f>
              <c:numCache>
                <c:formatCode>General</c:formatCode>
                <c:ptCount val="12"/>
                <c:pt idx="0">
                  <c:v>32.2895</c:v>
                </c:pt>
                <c:pt idx="1">
                  <c:v>32.0829</c:v>
                </c:pt>
                <c:pt idx="2">
                  <c:v>31.7956</c:v>
                </c:pt>
                <c:pt idx="3">
                  <c:v>31.6356</c:v>
                </c:pt>
                <c:pt idx="4">
                  <c:v>31.4364</c:v>
                </c:pt>
                <c:pt idx="5">
                  <c:v>31.2311</c:v>
                </c:pt>
                <c:pt idx="6">
                  <c:v>30.2696</c:v>
                </c:pt>
                <c:pt idx="7">
                  <c:v>29.1974</c:v>
                </c:pt>
                <c:pt idx="8">
                  <c:v>28.3881</c:v>
                </c:pt>
                <c:pt idx="9">
                  <c:v>26.8889</c:v>
                </c:pt>
                <c:pt idx="10">
                  <c:v>26.3547</c:v>
                </c:pt>
                <c:pt idx="11">
                  <c:v>25.5443</c:v>
                </c:pt>
              </c:numCache>
            </c:numRef>
          </c:yVal>
          <c:smooth val="1"/>
        </c:ser>
        <c:ser>
          <c:idx val="1"/>
          <c:order val="1"/>
          <c:tx>
            <c:v>Laser Profiler, 245.2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Changes'!$AM$3:$AM$14</c:f>
              <c:numCache>
                <c:formatCode>General</c:formatCode>
                <c:ptCount val="12"/>
                <c:pt idx="0">
                  <c:v>37.207</c:v>
                </c:pt>
                <c:pt idx="1">
                  <c:v>36.946</c:v>
                </c:pt>
                <c:pt idx="2">
                  <c:v>36.785</c:v>
                </c:pt>
                <c:pt idx="3">
                  <c:v>36.705</c:v>
                </c:pt>
                <c:pt idx="4">
                  <c:v>36.303</c:v>
                </c:pt>
                <c:pt idx="5">
                  <c:v>36.162</c:v>
                </c:pt>
                <c:pt idx="6">
                  <c:v>35.459</c:v>
                </c:pt>
                <c:pt idx="7">
                  <c:v>34.877</c:v>
                </c:pt>
                <c:pt idx="8">
                  <c:v>34.394</c:v>
                </c:pt>
                <c:pt idx="9" formatCode="0.000">
                  <c:v>33.29</c:v>
                </c:pt>
                <c:pt idx="10">
                  <c:v>32.727</c:v>
                </c:pt>
                <c:pt idx="11">
                  <c:v>32.225</c:v>
                </c:pt>
              </c:numCache>
            </c:numRef>
          </c:yVal>
          <c:smooth val="1"/>
        </c:ser>
        <c:ser>
          <c:idx val="2"/>
          <c:order val="2"/>
          <c:tx>
            <c:v>AFM,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Changes'!$AS$3:$AS$14</c:f>
              <c:numCache>
                <c:formatCode>General</c:formatCode>
                <c:ptCount val="12"/>
                <c:pt idx="0">
                  <c:v>367.3386</c:v>
                </c:pt>
                <c:pt idx="1">
                  <c:v>365.6177</c:v>
                </c:pt>
                <c:pt idx="2" formatCode="0.0000">
                  <c:v>366.627</c:v>
                </c:pt>
                <c:pt idx="3">
                  <c:v>365.0101</c:v>
                </c:pt>
                <c:pt idx="4">
                  <c:v>364.8468</c:v>
                </c:pt>
                <c:pt idx="5">
                  <c:v>366.0543</c:v>
                </c:pt>
                <c:pt idx="6" formatCode="0.0000">
                  <c:v>362.157</c:v>
                </c:pt>
                <c:pt idx="7">
                  <c:v>358.4554</c:v>
                </c:pt>
                <c:pt idx="8">
                  <c:v>354.8267</c:v>
                </c:pt>
                <c:pt idx="9">
                  <c:v>350.8613</c:v>
                </c:pt>
                <c:pt idx="10">
                  <c:v>346.3859</c:v>
                </c:pt>
                <c:pt idx="11">
                  <c:v>345.2583</c:v>
                </c:pt>
              </c:numCache>
            </c:numRef>
          </c:yVal>
          <c:smooth val="1"/>
        </c:ser>
        <c:ser>
          <c:idx val="3"/>
          <c:order val="3"/>
          <c:tx>
            <c:v>Laser Profiler, 2942 mN</c:v>
          </c:tx>
          <c:xVal>
            <c:numRef>
              <c:f>'Cutoff Area Changes'!$AL$3:$AL$14</c:f>
              <c:numCache>
                <c:formatCode>General</c:formatCode>
                <c:ptCount val="12"/>
                <c:pt idx="0">
                  <c:v>0.0</c:v>
                </c:pt>
                <c:pt idx="1">
                  <c:v>-1.0</c:v>
                </c:pt>
                <c:pt idx="2">
                  <c:v>-2.0</c:v>
                </c:pt>
                <c:pt idx="3">
                  <c:v>-3.0</c:v>
                </c:pt>
                <c:pt idx="4">
                  <c:v>-4.0</c:v>
                </c:pt>
                <c:pt idx="5">
                  <c:v>-5.0</c:v>
                </c:pt>
                <c:pt idx="6">
                  <c:v>-10.0</c:v>
                </c:pt>
                <c:pt idx="7">
                  <c:v>-15.0</c:v>
                </c:pt>
                <c:pt idx="8">
                  <c:v>-20.0</c:v>
                </c:pt>
                <c:pt idx="9">
                  <c:v>-30.0</c:v>
                </c:pt>
                <c:pt idx="10">
                  <c:v>-35.0</c:v>
                </c:pt>
                <c:pt idx="11">
                  <c:v>-40.0</c:v>
                </c:pt>
              </c:numCache>
            </c:numRef>
          </c:xVal>
          <c:yVal>
            <c:numRef>
              <c:f>'Cutoff Area Changes'!$AQ$3:$AQ$14</c:f>
              <c:numCache>
                <c:formatCode>General</c:formatCode>
                <c:ptCount val="12"/>
                <c:pt idx="0" formatCode="0.000">
                  <c:v>396.38</c:v>
                </c:pt>
                <c:pt idx="1">
                  <c:v>395.918</c:v>
                </c:pt>
                <c:pt idx="2">
                  <c:v>395.556</c:v>
                </c:pt>
                <c:pt idx="3">
                  <c:v>395.054</c:v>
                </c:pt>
                <c:pt idx="4">
                  <c:v>394.512</c:v>
                </c:pt>
                <c:pt idx="5">
                  <c:v>393.929</c:v>
                </c:pt>
                <c:pt idx="6">
                  <c:v>391.599</c:v>
                </c:pt>
                <c:pt idx="7">
                  <c:v>389.329</c:v>
                </c:pt>
                <c:pt idx="8">
                  <c:v>387.199</c:v>
                </c:pt>
                <c:pt idx="9">
                  <c:v>381.594</c:v>
                </c:pt>
                <c:pt idx="10">
                  <c:v>379.866</c:v>
                </c:pt>
                <c:pt idx="11">
                  <c:v>377.636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86392"/>
        <c:axId val="2108292088"/>
      </c:scatterChart>
      <c:valAx>
        <c:axId val="21082863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Threshold Change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292088"/>
        <c:crosses val="autoZero"/>
        <c:crossBetween val="midCat"/>
      </c:valAx>
      <c:valAx>
        <c:axId val="2108292088"/>
        <c:scaling>
          <c:orientation val="minMax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(sq. µm)</a:t>
                </a:r>
              </a:p>
            </c:rich>
          </c:tx>
          <c:layout>
            <c:manualLayout>
              <c:xMode val="edge"/>
              <c:yMode val="edge"/>
              <c:x val="0.00234120734908135"/>
              <c:y val="0.290864319043453"/>
            </c:manualLayout>
          </c:layout>
          <c:overlay val="0"/>
        </c:title>
        <c:numFmt formatCode="General" sourceLinked="1"/>
        <c:majorTickMark val="out"/>
        <c:minorTickMark val="none"/>
        <c:tickLblPos val="high"/>
        <c:crossAx val="2108286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85113332314043"/>
          <c:y val="0.360670152342075"/>
          <c:w val="0.495954628851005"/>
          <c:h val="0.326532027721222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40584"/>
        <c:axId val="2108246072"/>
      </c:scatterChart>
      <c:valAx>
        <c:axId val="210824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8246072"/>
        <c:crosses val="autoZero"/>
        <c:crossBetween val="midCat"/>
      </c:valAx>
      <c:valAx>
        <c:axId val="2108246072"/>
        <c:scaling>
          <c:orientation val="minMax"/>
          <c:max val="8.5"/>
          <c:min val="5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108240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8890601440777"/>
          <c:y val="0.438107015719321"/>
          <c:w val="0.192229330708661"/>
          <c:h val="0.24532547241493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User 1</c:v>
          </c:tx>
          <c:spPr>
            <a:ln w="47625">
              <a:noFill/>
            </a:ln>
          </c:spPr>
          <c:marker>
            <c:symbol val="circl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plus>
            <c:minus>
              <c:numRef>
                <c:f>'Human Error'!$AB$7:$AB$9</c:f>
                <c:numCache>
                  <c:formatCode>General</c:formatCode>
                  <c:ptCount val="3"/>
                  <c:pt idx="0">
                    <c:v>14.12453900981172</c:v>
                  </c:pt>
                  <c:pt idx="1">
                    <c:v>13.13808832425835</c:v>
                  </c:pt>
                  <c:pt idx="2">
                    <c:v>67.3061453220276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Error'!$AA$7:$AA$9</c:f>
              <c:numCache>
                <c:formatCode>0.0</c:formatCode>
                <c:ptCount val="3"/>
                <c:pt idx="0">
                  <c:v>685.3598677279909</c:v>
                </c:pt>
                <c:pt idx="1">
                  <c:v>701.3846865313373</c:v>
                </c:pt>
                <c:pt idx="2">
                  <c:v>646.2241175700025</c:v>
                </c:pt>
              </c:numCache>
            </c:numRef>
          </c:yVal>
          <c:smooth val="0"/>
        </c:ser>
        <c:ser>
          <c:idx val="1"/>
          <c:order val="1"/>
          <c:tx>
            <c:v>User 2</c:v>
          </c:tx>
          <c:spPr>
            <a:ln w="47625">
              <a:noFill/>
            </a:ln>
          </c:spPr>
          <c:marker>
            <c:symbol val="square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plus>
            <c:minus>
              <c:numRef>
                <c:f>'Human Error'!$AD$7:$AD$9</c:f>
                <c:numCache>
                  <c:formatCode>General</c:formatCode>
                  <c:ptCount val="3"/>
                  <c:pt idx="0">
                    <c:v>31.36861291323757</c:v>
                  </c:pt>
                  <c:pt idx="1">
                    <c:v>23.77446554394838</c:v>
                  </c:pt>
                  <c:pt idx="2">
                    <c:v>45.42742108039214</c:v>
                  </c:pt>
                </c:numCache>
              </c:numRef>
            </c:minus>
            <c:spPr>
              <a:ln>
                <a:solidFill>
                  <a:schemeClr val="tx1"/>
                </a:solidFill>
              </a:ln>
            </c:spPr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Error'!$AC$7:$AC$9</c:f>
              <c:numCache>
                <c:formatCode>0.0</c:formatCode>
                <c:ptCount val="3"/>
                <c:pt idx="0">
                  <c:v>679.1655081103684</c:v>
                </c:pt>
                <c:pt idx="1">
                  <c:v>658.8312009525997</c:v>
                </c:pt>
                <c:pt idx="2">
                  <c:v>635.4849121233971</c:v>
                </c:pt>
              </c:numCache>
            </c:numRef>
          </c:yVal>
          <c:smooth val="0"/>
        </c:ser>
        <c:ser>
          <c:idx val="2"/>
          <c:order val="2"/>
          <c:tx>
            <c:v>Software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plus>
            <c:minus>
              <c:numRef>
                <c:f>'Human Error'!$AF$7:$AF$9</c:f>
                <c:numCache>
                  <c:formatCode>General</c:formatCode>
                  <c:ptCount val="3"/>
                  <c:pt idx="0">
                    <c:v>16.49754556434566</c:v>
                  </c:pt>
                  <c:pt idx="1">
                    <c:v>15.68586664023025</c:v>
                  </c:pt>
                  <c:pt idx="2">
                    <c:v>58.30658992473003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Error'!$Z$7:$Z$9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Error'!$AE$7:$AE$9</c:f>
              <c:numCache>
                <c:formatCode>0.0</c:formatCode>
                <c:ptCount val="3"/>
                <c:pt idx="0">
                  <c:v>702.2572058454543</c:v>
                </c:pt>
                <c:pt idx="1">
                  <c:v>730.7595945823791</c:v>
                </c:pt>
                <c:pt idx="2">
                  <c:v>658.1684026080351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84312"/>
        <c:axId val="-2133009016"/>
      </c:scatterChart>
      <c:valAx>
        <c:axId val="-2132984312"/>
        <c:scaling>
          <c:orientation val="minMax"/>
          <c:max val="3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09016"/>
        <c:crosses val="autoZero"/>
        <c:crossBetween val="midCat"/>
      </c:valAx>
      <c:valAx>
        <c:axId val="-2133009016"/>
        <c:scaling>
          <c:orientation val="minMax"/>
          <c:min val="55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Vickers Hardness (HV)</a:t>
                </a:r>
              </a:p>
            </c:rich>
          </c:tx>
          <c:layout>
            <c:manualLayout>
              <c:xMode val="edge"/>
              <c:yMode val="edge"/>
              <c:x val="0.025"/>
              <c:y val="0.1224146981627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-2132984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0620734908136"/>
          <c:y val="0.421693642461359"/>
          <c:w val="0.194025757892897"/>
          <c:h val="0.249141732283465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3"/>
          <c:tx>
            <c:v>User 1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plus>
            <c:minus>
              <c:numRef>
                <c:f>'Human Error'!$AK$7:$AK$9</c:f>
                <c:numCache>
                  <c:formatCode>General</c:formatCode>
                  <c:ptCount val="3"/>
                  <c:pt idx="0">
                    <c:v>0.147940416522152</c:v>
                  </c:pt>
                  <c:pt idx="1">
                    <c:v>0.0677010933129324</c:v>
                  </c:pt>
                  <c:pt idx="2">
                    <c:v>0.291814817829604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Error'!$AJ$7:$AJ$9</c:f>
              <c:numCache>
                <c:formatCode>0.0</c:formatCode>
                <c:ptCount val="3"/>
                <c:pt idx="0">
                  <c:v>5.25944312599576</c:v>
                </c:pt>
                <c:pt idx="1">
                  <c:v>5.479987882012724</c:v>
                </c:pt>
                <c:pt idx="2">
                  <c:v>5.429744337126648</c:v>
                </c:pt>
              </c:numCache>
            </c:numRef>
          </c:yVal>
          <c:smooth val="0"/>
        </c:ser>
        <c:ser>
          <c:idx val="4"/>
          <c:order val="4"/>
          <c:tx>
            <c:v>User 2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plus>
            <c:minus>
              <c:numRef>
                <c:f>'Human Error'!$AM$7:$AM$9</c:f>
                <c:numCache>
                  <c:formatCode>General</c:formatCode>
                  <c:ptCount val="3"/>
                  <c:pt idx="0">
                    <c:v>0.0711168713881597</c:v>
                  </c:pt>
                  <c:pt idx="1">
                    <c:v>0.127710839649722</c:v>
                  </c:pt>
                  <c:pt idx="2">
                    <c:v>0.109401357751937</c:v>
                  </c:pt>
                </c:numCache>
              </c:numRef>
            </c:minus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Error'!$AL$7:$AL$9</c:f>
              <c:numCache>
                <c:formatCode>0.0</c:formatCode>
                <c:ptCount val="3"/>
                <c:pt idx="0">
                  <c:v>5.158177240209328</c:v>
                </c:pt>
                <c:pt idx="1">
                  <c:v>5.184662052675598</c:v>
                </c:pt>
                <c:pt idx="2">
                  <c:v>5.28799880454695</c:v>
                </c:pt>
              </c:numCache>
            </c:numRef>
          </c:yVal>
          <c:smooth val="0"/>
        </c:ser>
        <c:ser>
          <c:idx val="0"/>
          <c:order val="0"/>
          <c:tx>
            <c:v>AFM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plus>
            <c:minus>
              <c:numRef>
                <c:f>'LP, AFM'!$W$12:$W$14</c:f>
                <c:numCache>
                  <c:formatCode>General</c:formatCode>
                  <c:ptCount val="3"/>
                  <c:pt idx="0">
                    <c:v>0.190615277685978</c:v>
                  </c:pt>
                  <c:pt idx="1">
                    <c:v>0.0993701228864828</c:v>
                  </c:pt>
                  <c:pt idx="2">
                    <c:v>0.323393822595078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AFM'!$V$12:$V$14</c:f>
              <c:numCache>
                <c:formatCode>0.000</c:formatCode>
                <c:ptCount val="3"/>
                <c:pt idx="0">
                  <c:v>7.428502557906315</c:v>
                </c:pt>
                <c:pt idx="1">
                  <c:v>7.4087065910273</c:v>
                </c:pt>
                <c:pt idx="2">
                  <c:v>7.082632497980324</c:v>
                </c:pt>
              </c:numCache>
            </c:numRef>
          </c:yVal>
          <c:smooth val="0"/>
        </c:ser>
        <c:ser>
          <c:idx val="1"/>
          <c:order val="1"/>
          <c:tx>
            <c:v>Laser Profiler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plus>
            <c:minus>
              <c:numRef>
                <c:f>'LP, AFM'!$Y$12:$Y$14</c:f>
                <c:numCache>
                  <c:formatCode>General</c:formatCode>
                  <c:ptCount val="3"/>
                  <c:pt idx="0">
                    <c:v>0.513463012690007</c:v>
                  </c:pt>
                  <c:pt idx="1">
                    <c:v>0.404654342414162</c:v>
                  </c:pt>
                  <c:pt idx="2">
                    <c:v>0.142482881460747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AFM'!$X$12:$X$14</c:f>
              <c:numCache>
                <c:formatCode>0.000</c:formatCode>
                <c:ptCount val="3"/>
                <c:pt idx="0">
                  <c:v>6.23150683770104</c:v>
                </c:pt>
                <c:pt idx="1">
                  <c:v>6.460317390559146</c:v>
                </c:pt>
                <c:pt idx="2">
                  <c:v>7.62883710799135</c:v>
                </c:pt>
              </c:numCache>
            </c:numRef>
          </c:yVal>
          <c:smooth val="0"/>
        </c:ser>
        <c:ser>
          <c:idx val="2"/>
          <c:order val="2"/>
          <c:tx>
            <c:v>Metallization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plus>
            <c:minus>
              <c:numRef>
                <c:f>'LP, AFM'!$AA$12:$AA$14</c:f>
                <c:numCache>
                  <c:formatCode>General</c:formatCode>
                  <c:ptCount val="3"/>
                  <c:pt idx="0">
                    <c:v>0.0638759485097753</c:v>
                  </c:pt>
                  <c:pt idx="1">
                    <c:v>0.331837187948994</c:v>
                  </c:pt>
                  <c:pt idx="2">
                    <c:v>0.0307747817868176</c:v>
                  </c:pt>
                </c:numCache>
              </c:numRef>
            </c:minus>
          </c:errBars>
          <c:xVal>
            <c:numRef>
              <c:f>'LP, AFM'!$U$12:$U$14</c:f>
              <c:numCache>
                <c:formatCode>General</c:formatCode>
                <c:ptCount val="3"/>
                <c:pt idx="0">
                  <c:v>245.2</c:v>
                </c:pt>
                <c:pt idx="1">
                  <c:v>490.3</c:v>
                </c:pt>
                <c:pt idx="2">
                  <c:v>2942.0</c:v>
                </c:pt>
              </c:numCache>
            </c:numRef>
          </c:xVal>
          <c:yVal>
            <c:numRef>
              <c:f>'LP, AFM'!$Z$12:$Z$14</c:f>
              <c:numCache>
                <c:formatCode>0.000</c:formatCode>
                <c:ptCount val="3"/>
                <c:pt idx="0">
                  <c:v>7.482073562525703</c:v>
                </c:pt>
                <c:pt idx="1">
                  <c:v>7.48506995867172</c:v>
                </c:pt>
                <c:pt idx="2">
                  <c:v>7.94804217325192</c:v>
                </c:pt>
              </c:numCache>
            </c:numRef>
          </c:yVal>
          <c:smooth val="0"/>
        </c:ser>
        <c:ser>
          <c:idx val="5"/>
          <c:order val="5"/>
          <c:tx>
            <c:v>AFM Diagonals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plus>
            <c:minus>
              <c:numRef>
                <c:f>'Human Error'!$AO$7:$AO$9</c:f>
                <c:numCache>
                  <c:formatCode>General</c:formatCode>
                  <c:ptCount val="3"/>
                  <c:pt idx="0">
                    <c:v>0.163079760201961</c:v>
                  </c:pt>
                  <c:pt idx="1">
                    <c:v>0.219580170643891</c:v>
                  </c:pt>
                  <c:pt idx="2">
                    <c:v>0.162238688179391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'Human Error'!$AI$7:$AI$9</c:f>
              <c:numCache>
                <c:formatCode>General</c:formatCode>
                <c:ptCount val="3"/>
                <c:pt idx="0">
                  <c:v>2942.0</c:v>
                </c:pt>
                <c:pt idx="1">
                  <c:v>490.3</c:v>
                </c:pt>
                <c:pt idx="2">
                  <c:v>245.2</c:v>
                </c:pt>
              </c:numCache>
            </c:numRef>
          </c:xVal>
          <c:yVal>
            <c:numRef>
              <c:f>'Human Error'!$AN$7:$AN$9</c:f>
              <c:numCache>
                <c:formatCode>0.000</c:formatCode>
                <c:ptCount val="3"/>
                <c:pt idx="0">
                  <c:v>5.478426600349524</c:v>
                </c:pt>
                <c:pt idx="1">
                  <c:v>5.525461676007874</c:v>
                </c:pt>
                <c:pt idx="2">
                  <c:v>5.516232898862501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94184"/>
        <c:axId val="-2133330072"/>
      </c:scatterChart>
      <c:valAx>
        <c:axId val="-213379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(mN)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330072"/>
        <c:crosses val="autoZero"/>
        <c:crossBetween val="midCat"/>
      </c:valAx>
      <c:valAx>
        <c:axId val="-2133330072"/>
        <c:scaling>
          <c:orientation val="minMax"/>
          <c:min val="4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Hardness (GPa)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-2133794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2922327346915"/>
          <c:y val="0.232381889763779"/>
          <c:w val="0.270748478493795"/>
          <c:h val="0.498283464566929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406400</xdr:colOff>
      <xdr:row>1</xdr:row>
      <xdr:rowOff>76200</xdr:rowOff>
    </xdr:from>
    <xdr:to>
      <xdr:col>33</xdr:col>
      <xdr:colOff>660400</xdr:colOff>
      <xdr:row>21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245533</xdr:colOff>
      <xdr:row>0</xdr:row>
      <xdr:rowOff>152400</xdr:rowOff>
    </xdr:from>
    <xdr:to>
      <xdr:col>53</xdr:col>
      <xdr:colOff>499533</xdr:colOff>
      <xdr:row>21</xdr:row>
      <xdr:rowOff>42334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160866</xdr:colOff>
      <xdr:row>3</xdr:row>
      <xdr:rowOff>42332</xdr:rowOff>
    </xdr:from>
    <xdr:to>
      <xdr:col>35</xdr:col>
      <xdr:colOff>25400</xdr:colOff>
      <xdr:row>23</xdr:row>
      <xdr:rowOff>16933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67733</xdr:colOff>
      <xdr:row>9</xdr:row>
      <xdr:rowOff>169333</xdr:rowOff>
    </xdr:from>
    <xdr:to>
      <xdr:col>30</xdr:col>
      <xdr:colOff>643466</xdr:colOff>
      <xdr:row>29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584200</xdr:colOff>
      <xdr:row>9</xdr:row>
      <xdr:rowOff>160867</xdr:rowOff>
    </xdr:from>
    <xdr:to>
      <xdr:col>40</xdr:col>
      <xdr:colOff>169333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>(N7-L7)/AVERAGE(N7,L7)*100</f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>(AA7-T7)/AVERAGE(T7,AA7)*100</f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>2*K12*SIN((136*3.14159/180)/2)*102/L12</f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 t="shared" ref="I22:I27" si="2">(H22-E22)/AVERAGE(H22,E22)*100</f>
        <v>-99.481865284974077</v>
      </c>
      <c r="J22" s="19">
        <f t="shared" ref="J22:J27" si="3"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si="2"/>
        <v>8.9965397923875319</v>
      </c>
      <c r="J23" s="19">
        <f t="shared" si="3"/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 t="shared" ref="I28:I33" si="4">(G28-E28)/AVERAGE(E28,G28)*100</f>
        <v>-51.263537906137181</v>
      </c>
      <c r="J28" s="19">
        <f t="shared" ref="J28:J33" si="5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si="4"/>
        <v>37.054631828978614</v>
      </c>
      <c r="J29" s="19">
        <f t="shared" si="5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4"/>
        <v>15.000000000000002</v>
      </c>
      <c r="J30" s="19">
        <f t="shared" si="5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4"/>
        <v>-12.389380530973444</v>
      </c>
      <c r="J31" s="19">
        <f t="shared" si="5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4"/>
        <v>-13.333333333333334</v>
      </c>
      <c r="J32" s="19">
        <f t="shared" si="5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4"/>
        <v>-77.858176555716369</v>
      </c>
      <c r="J33" s="19">
        <f t="shared" si="5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8"/>
  <sheetViews>
    <sheetView topLeftCell="AL1" zoomScale="150" zoomScaleNormal="150" zoomScalePageLayoutView="150" workbookViewId="0">
      <selection activeCell="AR16" sqref="AR16"/>
    </sheetView>
  </sheetViews>
  <sheetFormatPr baseColWidth="10" defaultRowHeight="15" x14ac:dyDescent="0"/>
  <cols>
    <col min="39" max="39" width="20.6640625" bestFit="1" customWidth="1"/>
    <col min="40" max="40" width="14.83203125" bestFit="1" customWidth="1"/>
    <col min="41" max="41" width="13.5" bestFit="1" customWidth="1"/>
    <col min="42" max="42" width="14.1640625" bestFit="1" customWidth="1"/>
    <col min="43" max="43" width="20.1640625" bestFit="1" customWidth="1"/>
    <col min="44" max="44" width="14.1640625" bestFit="1" customWidth="1"/>
    <col min="45" max="45" width="13" bestFit="1" customWidth="1"/>
    <col min="46" max="46" width="13.5" bestFit="1" customWidth="1"/>
  </cols>
  <sheetData>
    <row r="2" spans="2:46">
      <c r="AL2" t="s">
        <v>60</v>
      </c>
      <c r="AM2" s="2" t="s">
        <v>56</v>
      </c>
      <c r="AN2" s="2" t="s">
        <v>98</v>
      </c>
      <c r="AO2" s="2" t="s">
        <v>57</v>
      </c>
      <c r="AP2" s="2" t="s">
        <v>99</v>
      </c>
      <c r="AQ2" s="2" t="s">
        <v>58</v>
      </c>
      <c r="AR2" s="2" t="s">
        <v>100</v>
      </c>
      <c r="AS2" s="2" t="s">
        <v>59</v>
      </c>
      <c r="AT2" s="2" t="s">
        <v>101</v>
      </c>
    </row>
    <row r="3" spans="2:46">
      <c r="C3" s="2">
        <v>490.3</v>
      </c>
      <c r="D3" s="2">
        <v>980.7</v>
      </c>
      <c r="E3" s="2">
        <v>1961</v>
      </c>
      <c r="F3" s="2">
        <v>2942</v>
      </c>
      <c r="G3" s="2">
        <v>4903</v>
      </c>
      <c r="T3" s="2">
        <v>490.3</v>
      </c>
      <c r="U3" s="2">
        <v>980.7</v>
      </c>
      <c r="V3" s="2">
        <v>1961</v>
      </c>
      <c r="W3" s="2">
        <v>2942</v>
      </c>
      <c r="X3" s="2">
        <v>4903</v>
      </c>
      <c r="AK3" s="2">
        <v>0</v>
      </c>
      <c r="AL3" s="2">
        <f>AK3*1000</f>
        <v>0</v>
      </c>
      <c r="AM3">
        <v>37.207000000000001</v>
      </c>
      <c r="AN3" s="6">
        <f>245.2/AM3</f>
        <v>6.5901577660117718</v>
      </c>
      <c r="AO3">
        <v>32.289499999999997</v>
      </c>
      <c r="AP3" s="6">
        <f>245.2/AO3</f>
        <v>7.5937998420539188</v>
      </c>
      <c r="AQ3" s="1">
        <v>396.38</v>
      </c>
      <c r="AR3" s="6">
        <f>2942/AQ3</f>
        <v>7.4221706443311977</v>
      </c>
      <c r="AS3">
        <v>367.33859999999999</v>
      </c>
      <c r="AT3" s="6">
        <f>2942/AS3</f>
        <v>8.008959581160271</v>
      </c>
    </row>
    <row r="4" spans="2:46">
      <c r="B4" s="2">
        <v>0</v>
      </c>
      <c r="D4">
        <v>142.19900000000001</v>
      </c>
      <c r="F4">
        <v>391.23700000000002</v>
      </c>
      <c r="G4">
        <v>527.91099999999994</v>
      </c>
      <c r="S4" s="2">
        <v>0</v>
      </c>
      <c r="U4">
        <v>142.19900000000001</v>
      </c>
      <c r="W4">
        <v>391.23700000000002</v>
      </c>
      <c r="X4">
        <v>527.91099999999994</v>
      </c>
      <c r="AK4" s="2">
        <v>-1E-3</v>
      </c>
      <c r="AL4" s="2">
        <f t="shared" ref="AL4:AL14" si="0">AK4*1000</f>
        <v>-1</v>
      </c>
      <c r="AM4">
        <v>36.945999999999998</v>
      </c>
      <c r="AN4" s="6">
        <f t="shared" ref="AN4:AN14" si="1">245.2/AM4</f>
        <v>6.6367130406539276</v>
      </c>
      <c r="AO4">
        <v>32.082900000000002</v>
      </c>
      <c r="AP4" s="6">
        <f t="shared" ref="AP4:AP14" si="2">245.2/AO4</f>
        <v>7.6427006286838148</v>
      </c>
      <c r="AQ4">
        <v>395.91800000000001</v>
      </c>
      <c r="AR4" s="6">
        <f t="shared" ref="AR4:AR14" si="3">2942/AQ4</f>
        <v>7.4308316368540961</v>
      </c>
      <c r="AS4">
        <v>365.61770000000001</v>
      </c>
      <c r="AT4" s="6">
        <f t="shared" ref="AT4:AT14" si="4">2942/AS4</f>
        <v>8.046656384524054</v>
      </c>
    </row>
    <row r="5" spans="2:46">
      <c r="B5" s="2">
        <v>-1E-3</v>
      </c>
      <c r="D5">
        <v>141.93700000000001</v>
      </c>
      <c r="F5">
        <v>390.73500000000001</v>
      </c>
      <c r="G5">
        <v>527.56899999999996</v>
      </c>
      <c r="S5" s="2">
        <v>-1E-3</v>
      </c>
      <c r="U5">
        <v>141.93700000000001</v>
      </c>
      <c r="W5">
        <v>390.73500000000001</v>
      </c>
      <c r="X5">
        <v>527.56899999999996</v>
      </c>
      <c r="AK5" s="2">
        <v>-2E-3</v>
      </c>
      <c r="AL5" s="2">
        <f t="shared" si="0"/>
        <v>-2</v>
      </c>
      <c r="AM5">
        <v>36.784999999999997</v>
      </c>
      <c r="AN5" s="6">
        <f t="shared" si="1"/>
        <v>6.6657605002038878</v>
      </c>
      <c r="AO5">
        <v>31.7956</v>
      </c>
      <c r="AP5" s="6">
        <f t="shared" si="2"/>
        <v>7.7117588597164382</v>
      </c>
      <c r="AQ5">
        <v>395.55599999999998</v>
      </c>
      <c r="AR5" s="6">
        <f t="shared" si="3"/>
        <v>7.4376320925482107</v>
      </c>
      <c r="AS5" s="50">
        <v>366.62700000000001</v>
      </c>
      <c r="AT5" s="6">
        <f t="shared" si="4"/>
        <v>8.0245044691198402</v>
      </c>
    </row>
    <row r="6" spans="2:46">
      <c r="B6" s="2">
        <v>-2E-3</v>
      </c>
      <c r="D6">
        <v>141.696</v>
      </c>
      <c r="F6">
        <v>390.35300000000001</v>
      </c>
      <c r="G6">
        <v>527.04700000000003</v>
      </c>
      <c r="S6" s="2">
        <v>-2E-3</v>
      </c>
      <c r="U6">
        <v>141.696</v>
      </c>
      <c r="W6">
        <v>390.35300000000001</v>
      </c>
      <c r="X6">
        <v>527.04700000000003</v>
      </c>
      <c r="AK6" s="2">
        <v>-3.0000000000000001E-3</v>
      </c>
      <c r="AL6" s="2">
        <f t="shared" si="0"/>
        <v>-3</v>
      </c>
      <c r="AM6">
        <v>36.704999999999998</v>
      </c>
      <c r="AN6" s="6">
        <f t="shared" si="1"/>
        <v>6.6802887889933249</v>
      </c>
      <c r="AO6">
        <v>31.6356</v>
      </c>
      <c r="AP6" s="6">
        <f t="shared" si="2"/>
        <v>7.7507617999974707</v>
      </c>
      <c r="AQ6">
        <v>395.05399999999997</v>
      </c>
      <c r="AR6" s="6">
        <f t="shared" si="3"/>
        <v>7.4470831835647786</v>
      </c>
      <c r="AS6">
        <v>365.01010000000002</v>
      </c>
      <c r="AT6" s="6">
        <f t="shared" si="4"/>
        <v>8.0600509410561507</v>
      </c>
    </row>
    <row r="7" spans="2:46">
      <c r="B7" s="2">
        <v>-3.0000000000000001E-3</v>
      </c>
      <c r="D7">
        <v>141.47499999999999</v>
      </c>
      <c r="F7">
        <v>389.89100000000002</v>
      </c>
      <c r="G7">
        <v>526.68499999999995</v>
      </c>
      <c r="S7" s="2">
        <v>-3.0000000000000001E-3</v>
      </c>
      <c r="U7">
        <v>141.47499999999999</v>
      </c>
      <c r="W7">
        <v>389.89100000000002</v>
      </c>
      <c r="X7">
        <v>526.68499999999995</v>
      </c>
      <c r="AK7" s="2">
        <v>-4.0000000000000001E-3</v>
      </c>
      <c r="AL7" s="2">
        <f t="shared" si="0"/>
        <v>-4</v>
      </c>
      <c r="AM7">
        <v>36.302999999999997</v>
      </c>
      <c r="AN7" s="6">
        <f t="shared" si="1"/>
        <v>6.7542627331074572</v>
      </c>
      <c r="AO7">
        <v>31.436399999999999</v>
      </c>
      <c r="AP7" s="6">
        <f t="shared" si="2"/>
        <v>7.7998753037879656</v>
      </c>
      <c r="AQ7">
        <v>394.512</v>
      </c>
      <c r="AR7" s="6">
        <f t="shared" si="3"/>
        <v>7.4573143529220909</v>
      </c>
      <c r="AS7">
        <v>364.84679999999997</v>
      </c>
      <c r="AT7" s="6">
        <f t="shared" si="4"/>
        <v>8.0636584999512131</v>
      </c>
    </row>
    <row r="8" spans="2:46">
      <c r="B8" s="2">
        <v>-4.0000000000000001E-3</v>
      </c>
      <c r="D8">
        <v>141.33500000000001</v>
      </c>
      <c r="F8">
        <v>389.32900000000001</v>
      </c>
      <c r="G8">
        <v>526.32399999999996</v>
      </c>
      <c r="S8" s="2">
        <v>-4.0000000000000001E-3</v>
      </c>
      <c r="U8">
        <v>141.33500000000001</v>
      </c>
      <c r="W8">
        <v>389.32900000000001</v>
      </c>
      <c r="X8">
        <v>526.32399999999996</v>
      </c>
      <c r="AK8" s="2">
        <v>-5.0000000000000001E-3</v>
      </c>
      <c r="AL8" s="2">
        <f t="shared" si="0"/>
        <v>-5</v>
      </c>
      <c r="AM8">
        <v>36.161999999999999</v>
      </c>
      <c r="AN8" s="6">
        <f t="shared" si="1"/>
        <v>6.7805984182290802</v>
      </c>
      <c r="AO8">
        <v>31.231100000000001</v>
      </c>
      <c r="AP8" s="6">
        <f t="shared" si="2"/>
        <v>7.8511483745369191</v>
      </c>
      <c r="AQ8">
        <v>393.92899999999997</v>
      </c>
      <c r="AR8" s="6">
        <f t="shared" si="3"/>
        <v>7.4683508957197873</v>
      </c>
      <c r="AS8">
        <v>366.05430000000001</v>
      </c>
      <c r="AT8" s="6">
        <f t="shared" si="4"/>
        <v>8.03705898277933</v>
      </c>
    </row>
    <row r="9" spans="2:46">
      <c r="B9" s="2">
        <v>-5.0000000000000001E-3</v>
      </c>
      <c r="D9">
        <v>141.17400000000001</v>
      </c>
      <c r="F9">
        <v>388.92700000000002</v>
      </c>
      <c r="G9">
        <v>525.84199999999998</v>
      </c>
      <c r="S9" s="2">
        <v>-5.0000000000000001E-3</v>
      </c>
      <c r="U9">
        <v>141.17400000000001</v>
      </c>
      <c r="W9">
        <v>388.92700000000002</v>
      </c>
      <c r="X9">
        <v>525.84199999999998</v>
      </c>
      <c r="AK9" s="2">
        <v>-0.01</v>
      </c>
      <c r="AL9" s="2">
        <f t="shared" si="0"/>
        <v>-10</v>
      </c>
      <c r="AM9">
        <v>35.459000000000003</v>
      </c>
      <c r="AN9" s="6">
        <f t="shared" si="1"/>
        <v>6.915028624608702</v>
      </c>
      <c r="AO9">
        <v>30.269600000000001</v>
      </c>
      <c r="AP9" s="6">
        <f t="shared" si="2"/>
        <v>8.1005365118799055</v>
      </c>
      <c r="AQ9">
        <v>391.59899999999999</v>
      </c>
      <c r="AR9" s="6">
        <f t="shared" si="3"/>
        <v>7.5127873155958014</v>
      </c>
      <c r="AS9" s="50">
        <v>362.15699999999998</v>
      </c>
      <c r="AT9" s="6">
        <f t="shared" si="4"/>
        <v>8.1235486267005754</v>
      </c>
    </row>
    <row r="10" spans="2:46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  <c r="S10" s="2">
        <v>-0.01</v>
      </c>
      <c r="T10">
        <v>73.489999999999995</v>
      </c>
      <c r="U10">
        <v>140.04900000000001</v>
      </c>
      <c r="W10">
        <v>386.89800000000002</v>
      </c>
      <c r="X10">
        <v>523.59199999999998</v>
      </c>
      <c r="AK10" s="2">
        <v>-1.4999999999999999E-2</v>
      </c>
      <c r="AL10" s="2">
        <f t="shared" si="0"/>
        <v>-15</v>
      </c>
      <c r="AM10">
        <v>34.877000000000002</v>
      </c>
      <c r="AN10" s="6">
        <f t="shared" si="1"/>
        <v>7.0304211944834698</v>
      </c>
      <c r="AO10">
        <v>29.197399999999998</v>
      </c>
      <c r="AP10" s="6">
        <f t="shared" si="2"/>
        <v>8.3980080418119432</v>
      </c>
      <c r="AQ10">
        <v>389.32900000000001</v>
      </c>
      <c r="AR10" s="6">
        <f t="shared" si="3"/>
        <v>7.5565909552075494</v>
      </c>
      <c r="AS10">
        <v>358.4554</v>
      </c>
      <c r="AT10" s="6">
        <f t="shared" si="4"/>
        <v>8.20743668528916</v>
      </c>
    </row>
    <row r="11" spans="2:46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  <c r="S11" s="2">
        <v>-1.4999999999999999E-2</v>
      </c>
      <c r="T11">
        <v>71.983000000000004</v>
      </c>
      <c r="U11">
        <v>138.904</v>
      </c>
      <c r="W11">
        <v>384.32600000000002</v>
      </c>
      <c r="X11">
        <v>521.58199999999999</v>
      </c>
      <c r="AK11" s="2">
        <v>-0.02</v>
      </c>
      <c r="AL11" s="2">
        <f t="shared" si="0"/>
        <v>-20</v>
      </c>
      <c r="AM11">
        <v>34.393999999999998</v>
      </c>
      <c r="AN11" s="6">
        <f t="shared" si="1"/>
        <v>7.1291504332150959</v>
      </c>
      <c r="AO11">
        <v>28.388100000000001</v>
      </c>
      <c r="AP11" s="6">
        <f t="shared" si="2"/>
        <v>8.6374220183809403</v>
      </c>
      <c r="AQ11">
        <v>387.19900000000001</v>
      </c>
      <c r="AR11" s="6">
        <f t="shared" si="3"/>
        <v>7.5981601192151835</v>
      </c>
      <c r="AS11">
        <v>354.82670000000002</v>
      </c>
      <c r="AT11" s="6">
        <f t="shared" si="4"/>
        <v>8.2913715343292935</v>
      </c>
    </row>
    <row r="12" spans="2:46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  <c r="S12" s="2">
        <v>-0.02</v>
      </c>
      <c r="T12">
        <v>71.138999999999996</v>
      </c>
      <c r="U12">
        <v>138.04</v>
      </c>
      <c r="V12">
        <v>274.51299999999998</v>
      </c>
      <c r="W12">
        <v>382.35700000000003</v>
      </c>
      <c r="X12">
        <v>519.79399999999998</v>
      </c>
      <c r="AK12" s="2">
        <v>-0.03</v>
      </c>
      <c r="AL12" s="2">
        <f t="shared" si="0"/>
        <v>-30</v>
      </c>
      <c r="AM12" s="1">
        <v>33.29</v>
      </c>
      <c r="AN12" s="6">
        <f t="shared" si="1"/>
        <v>7.3655752478221688</v>
      </c>
      <c r="AO12">
        <v>26.8889</v>
      </c>
      <c r="AP12" s="6">
        <f t="shared" si="2"/>
        <v>9.1190044962791337</v>
      </c>
      <c r="AQ12">
        <v>381.59399999999999</v>
      </c>
      <c r="AR12" s="6">
        <f t="shared" si="3"/>
        <v>7.7097648285874518</v>
      </c>
      <c r="AS12">
        <v>350.86130000000003</v>
      </c>
      <c r="AT12" s="6">
        <f t="shared" si="4"/>
        <v>8.3850798021896402</v>
      </c>
    </row>
    <row r="13" spans="2:46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  <c r="S13" s="2">
        <v>-0.03</v>
      </c>
      <c r="T13">
        <v>69.372</v>
      </c>
      <c r="U13">
        <v>136.11099999999999</v>
      </c>
      <c r="V13">
        <v>270.67599999999999</v>
      </c>
      <c r="W13">
        <v>378.37900000000002</v>
      </c>
      <c r="X13">
        <v>515.99699999999996</v>
      </c>
      <c r="AK13" s="2">
        <v>-3.5000000000000003E-2</v>
      </c>
      <c r="AL13" s="2">
        <f t="shared" si="0"/>
        <v>-35</v>
      </c>
      <c r="AM13">
        <v>32.726999999999997</v>
      </c>
      <c r="AN13" s="6">
        <f t="shared" si="1"/>
        <v>7.4922846579277049</v>
      </c>
      <c r="AO13">
        <v>26.354700000000001</v>
      </c>
      <c r="AP13" s="6">
        <f t="shared" si="2"/>
        <v>9.3038433372415543</v>
      </c>
      <c r="AQ13">
        <v>379.86599999999999</v>
      </c>
      <c r="AR13" s="6">
        <f t="shared" si="3"/>
        <v>7.7448363370241085</v>
      </c>
      <c r="AS13">
        <v>346.38589999999999</v>
      </c>
      <c r="AT13" s="6">
        <f t="shared" si="4"/>
        <v>8.4934173128871588</v>
      </c>
    </row>
    <row r="14" spans="2:46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  <c r="S14" s="2">
        <v>-3.5000000000000003E-2</v>
      </c>
      <c r="T14">
        <v>68.367000000000004</v>
      </c>
      <c r="U14">
        <v>135.18700000000001</v>
      </c>
      <c r="V14">
        <v>269.209</v>
      </c>
      <c r="W14">
        <v>376.51100000000002</v>
      </c>
      <c r="X14">
        <v>514.27</v>
      </c>
      <c r="AK14" s="2">
        <v>-0.04</v>
      </c>
      <c r="AL14" s="2">
        <f t="shared" si="0"/>
        <v>-40</v>
      </c>
      <c r="AM14">
        <v>32.225000000000001</v>
      </c>
      <c r="AN14" s="6">
        <f t="shared" si="1"/>
        <v>7.6089992242048092</v>
      </c>
      <c r="AO14">
        <v>25.5443</v>
      </c>
      <c r="AP14" s="6">
        <f t="shared" si="2"/>
        <v>9.5990103467309726</v>
      </c>
      <c r="AQ14">
        <v>377.63600000000002</v>
      </c>
      <c r="AR14" s="6">
        <f t="shared" si="3"/>
        <v>7.7905708142232202</v>
      </c>
      <c r="AS14">
        <v>345.25830000000002</v>
      </c>
      <c r="AT14" s="6">
        <f t="shared" si="4"/>
        <v>8.5211564790766801</v>
      </c>
    </row>
    <row r="15" spans="2:46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  <c r="S15" s="2">
        <v>-0.04</v>
      </c>
      <c r="T15">
        <v>67.805000000000007</v>
      </c>
      <c r="U15">
        <v>134.404</v>
      </c>
      <c r="V15">
        <v>267.642</v>
      </c>
      <c r="W15">
        <v>374.42200000000003</v>
      </c>
      <c r="X15">
        <v>512.44100000000003</v>
      </c>
    </row>
    <row r="16" spans="2:46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  <c r="S16" t="s">
        <v>28</v>
      </c>
      <c r="T16" s="3"/>
      <c r="U16" s="3">
        <f>(U15-U4)/U4*100</f>
        <v>-5.4817544427176106</v>
      </c>
      <c r="V16" s="3"/>
      <c r="W16" s="3">
        <f>(W15-W4)/W4*100</f>
        <v>-4.2979063841098863</v>
      </c>
      <c r="X16" s="3">
        <f>(X15-X4)/X4*100</f>
        <v>-2.9304181954912694</v>
      </c>
      <c r="AM16" s="3">
        <f>(AM14-AM3)/AM3*100</f>
        <v>-13.38995350337302</v>
      </c>
      <c r="AN16" s="20">
        <f>(AN14-AN3)/AN3*100</f>
        <v>15.460046547711395</v>
      </c>
      <c r="AO16" s="3">
        <f t="shared" ref="AO16:AT16" si="5">(AO14-AO3)/AO3*100</f>
        <v>-20.889762926028578</v>
      </c>
      <c r="AP16" s="20">
        <f t="shared" si="5"/>
        <v>26.40589094240201</v>
      </c>
      <c r="AQ16" s="3">
        <f t="shared" si="5"/>
        <v>-4.7287956001816367</v>
      </c>
      <c r="AR16" s="20">
        <f t="shared" si="5"/>
        <v>4.9635098348674331</v>
      </c>
      <c r="AS16" s="3">
        <f t="shared" si="5"/>
        <v>-6.0108847804178396</v>
      </c>
      <c r="AT16" s="20">
        <f t="shared" si="5"/>
        <v>6.3952988240977779</v>
      </c>
    </row>
    <row r="17" spans="2:46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  <c r="S17" t="s">
        <v>30</v>
      </c>
      <c r="T17" s="3"/>
      <c r="U17" s="3">
        <f>U15-U4</f>
        <v>-7.7950000000000159</v>
      </c>
      <c r="V17" s="3"/>
      <c r="W17" s="3">
        <f>W15-W4</f>
        <v>-16.814999999999998</v>
      </c>
      <c r="X17" s="3">
        <f>X15-X4</f>
        <v>-15.469999999999914</v>
      </c>
      <c r="AN17" s="6">
        <f>AN14-AN3</f>
        <v>1.0188414581930374</v>
      </c>
      <c r="AP17" s="6">
        <f>AP14-AP3</f>
        <v>2.0052105046770539</v>
      </c>
      <c r="AR17" s="6">
        <f>AR14-AR3</f>
        <v>0.36840016989202251</v>
      </c>
      <c r="AT17" s="6">
        <f>AT14-AT3</f>
        <v>0.5121968979164091</v>
      </c>
    </row>
    <row r="18" spans="2:46">
      <c r="B18" t="s">
        <v>29</v>
      </c>
      <c r="C18" s="22">
        <f>(C15-75.012)/75.012*100</f>
        <v>-9.6077960859595724</v>
      </c>
      <c r="E18" s="3">
        <f>(E15-281.26)/281.26*100</f>
        <v>-4.8417834032567715</v>
      </c>
      <c r="S18" t="s">
        <v>29</v>
      </c>
      <c r="T18" s="22">
        <f>(T15-75.012)/75.012*100</f>
        <v>-9.6077960859595724</v>
      </c>
      <c r="V18" s="3">
        <f>(V15-281.26)/281.26*100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" zoomScale="150" zoomScaleNormal="150" zoomScalePageLayoutView="150" workbookViewId="0">
      <selection activeCell="E8" sqref="E8"/>
    </sheetView>
  </sheetViews>
  <sheetFormatPr baseColWidth="10" defaultRowHeight="15" x14ac:dyDescent="0"/>
  <cols>
    <col min="2" max="2" width="6.1640625" bestFit="1" customWidth="1"/>
    <col min="3" max="3" width="8" bestFit="1" customWidth="1"/>
    <col min="4" max="4" width="27.6640625" bestFit="1" customWidth="1"/>
    <col min="5" max="5" width="27.5" bestFit="1" customWidth="1"/>
  </cols>
  <sheetData>
    <row r="1" spans="1:5">
      <c r="A1" t="s">
        <v>33</v>
      </c>
    </row>
    <row r="2" spans="1:5">
      <c r="D2" t="s">
        <v>32</v>
      </c>
      <c r="E2" t="s">
        <v>32</v>
      </c>
    </row>
    <row r="3" spans="1:5" s="2" customFormat="1">
      <c r="B3" s="2" t="s">
        <v>0</v>
      </c>
      <c r="C3" s="2" t="s">
        <v>1</v>
      </c>
      <c r="D3" s="2" t="s">
        <v>31</v>
      </c>
      <c r="E3" s="2" t="s">
        <v>35</v>
      </c>
    </row>
    <row r="4" spans="1:5">
      <c r="B4">
        <v>490.3</v>
      </c>
      <c r="C4">
        <v>1</v>
      </c>
      <c r="D4" s="3">
        <v>449.3</v>
      </c>
      <c r="E4" s="3">
        <v>491.8</v>
      </c>
    </row>
    <row r="5" spans="1:5">
      <c r="B5">
        <v>490.3</v>
      </c>
      <c r="C5">
        <v>2</v>
      </c>
      <c r="D5" s="3">
        <v>422.4</v>
      </c>
      <c r="E5" s="3">
        <v>484</v>
      </c>
    </row>
    <row r="6" spans="1:5">
      <c r="B6">
        <v>490.3</v>
      </c>
      <c r="C6">
        <v>3</v>
      </c>
      <c r="D6" s="3">
        <v>447.4</v>
      </c>
      <c r="E6" s="3">
        <v>476.4</v>
      </c>
    </row>
    <row r="7" spans="1:5">
      <c r="B7">
        <v>490.3</v>
      </c>
      <c r="C7">
        <v>4</v>
      </c>
      <c r="D7" s="3">
        <v>460.4</v>
      </c>
      <c r="E7" s="3">
        <v>476.1</v>
      </c>
    </row>
    <row r="8" spans="1:5">
      <c r="B8">
        <v>490.3</v>
      </c>
      <c r="C8">
        <v>5</v>
      </c>
      <c r="D8" s="3">
        <v>493.6</v>
      </c>
      <c r="E8" s="3"/>
    </row>
    <row r="9" spans="1:5">
      <c r="B9">
        <v>490.3</v>
      </c>
      <c r="C9">
        <v>6</v>
      </c>
      <c r="D9" s="3">
        <v>407.4</v>
      </c>
      <c r="E9" s="3"/>
    </row>
    <row r="10" spans="1:5">
      <c r="B10">
        <v>490.3</v>
      </c>
      <c r="C10">
        <v>7</v>
      </c>
      <c r="D10" s="3">
        <v>433.7</v>
      </c>
      <c r="E10" s="3"/>
    </row>
    <row r="11" spans="1:5">
      <c r="B11">
        <v>490.3</v>
      </c>
      <c r="C11">
        <v>8</v>
      </c>
      <c r="D11" s="3">
        <v>457.8</v>
      </c>
      <c r="E11" s="3"/>
    </row>
    <row r="12" spans="1:5">
      <c r="B12">
        <v>490.3</v>
      </c>
      <c r="C12">
        <v>9</v>
      </c>
      <c r="D12" s="3">
        <v>444</v>
      </c>
      <c r="E12" s="3"/>
    </row>
    <row r="13" spans="1:5">
      <c r="B13">
        <v>490.3</v>
      </c>
      <c r="C13">
        <v>10</v>
      </c>
      <c r="D13" s="3">
        <v>450.8</v>
      </c>
      <c r="E13" s="3"/>
    </row>
    <row r="14" spans="1:5">
      <c r="C14" s="2" t="s">
        <v>34</v>
      </c>
      <c r="D14" s="20">
        <f>AVERAGE(D4:D13)</f>
        <v>446.68</v>
      </c>
      <c r="E14" s="20">
        <f>AVERAGE(E4:E13)</f>
        <v>482.07499999999993</v>
      </c>
    </row>
    <row r="15" spans="1:5">
      <c r="C15" s="2" t="s">
        <v>10</v>
      </c>
      <c r="D15" s="20">
        <f>STDEV(D4:D13)</f>
        <v>23.204013062878214</v>
      </c>
      <c r="E15" s="20">
        <f>STDEV(E4:E13)</f>
        <v>7.4428377204755316</v>
      </c>
    </row>
    <row r="16" spans="1:5">
      <c r="B16">
        <v>980.7</v>
      </c>
      <c r="C16">
        <v>1</v>
      </c>
      <c r="D16" s="3">
        <v>471.1</v>
      </c>
      <c r="E16" s="3"/>
    </row>
    <row r="17" spans="2:5">
      <c r="B17">
        <v>980.7</v>
      </c>
      <c r="C17">
        <v>2</v>
      </c>
      <c r="D17" s="3">
        <v>495.7</v>
      </c>
      <c r="E17" s="3"/>
    </row>
    <row r="18" spans="2:5">
      <c r="B18">
        <v>980.7</v>
      </c>
      <c r="C18">
        <v>3</v>
      </c>
      <c r="D18" s="3">
        <v>485.6</v>
      </c>
      <c r="E18" s="3"/>
    </row>
    <row r="19" spans="2:5">
      <c r="B19">
        <v>980.7</v>
      </c>
      <c r="C19">
        <v>4</v>
      </c>
      <c r="D19" s="3">
        <v>485.6</v>
      </c>
    </row>
    <row r="20" spans="2:5">
      <c r="B20">
        <v>980.7</v>
      </c>
      <c r="C20">
        <v>5</v>
      </c>
      <c r="D20" s="3">
        <v>494.2</v>
      </c>
    </row>
    <row r="21" spans="2:5">
      <c r="B21">
        <v>980.7</v>
      </c>
      <c r="C21">
        <v>6</v>
      </c>
      <c r="D21" s="3">
        <v>514.20000000000005</v>
      </c>
    </row>
    <row r="22" spans="2:5">
      <c r="B22">
        <v>980.7</v>
      </c>
      <c r="C22">
        <v>7</v>
      </c>
      <c r="D22" s="3">
        <v>528</v>
      </c>
    </row>
    <row r="23" spans="2:5">
      <c r="B23">
        <v>980.7</v>
      </c>
      <c r="C23">
        <v>8</v>
      </c>
      <c r="D23" s="3">
        <v>487.1</v>
      </c>
    </row>
    <row r="24" spans="2:5">
      <c r="B24">
        <v>980.7</v>
      </c>
      <c r="C24">
        <v>9</v>
      </c>
      <c r="D24">
        <v>550.1</v>
      </c>
    </row>
    <row r="25" spans="2:5">
      <c r="B25">
        <v>980.7</v>
      </c>
      <c r="C25">
        <v>10</v>
      </c>
      <c r="D25">
        <v>494.5</v>
      </c>
    </row>
    <row r="26" spans="2:5">
      <c r="C26" s="2" t="s">
        <v>34</v>
      </c>
      <c r="D26" s="20">
        <f>AVERAGE(D16:D25)</f>
        <v>500.60999999999996</v>
      </c>
    </row>
    <row r="27" spans="2:5">
      <c r="C27" s="2" t="s">
        <v>10</v>
      </c>
      <c r="D27" s="20">
        <f>STDEV(D16:D25)</f>
        <v>23.548175206490111</v>
      </c>
    </row>
    <row r="28" spans="2:5">
      <c r="B28">
        <v>1961</v>
      </c>
      <c r="C28">
        <v>1</v>
      </c>
      <c r="D28" s="3">
        <v>510</v>
      </c>
    </row>
    <row r="29" spans="2:5">
      <c r="B29">
        <v>1961</v>
      </c>
      <c r="C29">
        <v>2</v>
      </c>
      <c r="D29" s="3">
        <v>502.5</v>
      </c>
    </row>
    <row r="30" spans="2:5">
      <c r="B30">
        <v>1961</v>
      </c>
      <c r="C30">
        <v>3</v>
      </c>
      <c r="D30" s="3">
        <v>501.2</v>
      </c>
    </row>
    <row r="31" spans="2:5">
      <c r="B31">
        <v>1961</v>
      </c>
      <c r="C31">
        <v>4</v>
      </c>
      <c r="D31" s="3">
        <v>483.3</v>
      </c>
    </row>
    <row r="32" spans="2:5">
      <c r="B32">
        <v>1961</v>
      </c>
      <c r="C32">
        <v>5</v>
      </c>
      <c r="D32" s="3">
        <v>520.6</v>
      </c>
    </row>
    <row r="33" spans="2:4">
      <c r="B33">
        <v>1961</v>
      </c>
      <c r="C33">
        <v>6</v>
      </c>
      <c r="D33" s="3">
        <v>470.2</v>
      </c>
    </row>
    <row r="34" spans="2:4">
      <c r="B34">
        <v>1961</v>
      </c>
      <c r="C34">
        <v>7</v>
      </c>
      <c r="D34" s="3">
        <v>492.3</v>
      </c>
    </row>
    <row r="35" spans="2:4">
      <c r="B35">
        <v>1961</v>
      </c>
      <c r="C35">
        <v>8</v>
      </c>
      <c r="D35" s="3">
        <v>531.1</v>
      </c>
    </row>
    <row r="36" spans="2:4">
      <c r="B36">
        <v>1961</v>
      </c>
      <c r="C36">
        <v>9</v>
      </c>
      <c r="D36" s="3">
        <v>494.9</v>
      </c>
    </row>
    <row r="37" spans="2:4">
      <c r="B37">
        <v>1961</v>
      </c>
      <c r="C37">
        <v>10</v>
      </c>
      <c r="D37" s="3">
        <v>551.79999999999995</v>
      </c>
    </row>
    <row r="38" spans="2:4">
      <c r="C38" s="2" t="s">
        <v>34</v>
      </c>
      <c r="D38" s="20">
        <f>AVERAGE(D28:D37)</f>
        <v>505.78999999999996</v>
      </c>
    </row>
    <row r="39" spans="2:4">
      <c r="C39" s="2" t="s">
        <v>10</v>
      </c>
      <c r="D39" s="20">
        <f>STDEV(D28:D37)</f>
        <v>23.803568826730345</v>
      </c>
    </row>
    <row r="40" spans="2:4">
      <c r="B40">
        <v>2941</v>
      </c>
      <c r="C40">
        <v>1</v>
      </c>
    </row>
    <row r="41" spans="2:4">
      <c r="B41">
        <v>2941</v>
      </c>
      <c r="C41">
        <v>2</v>
      </c>
    </row>
    <row r="42" spans="2:4">
      <c r="B42">
        <v>2941</v>
      </c>
      <c r="C42">
        <v>3</v>
      </c>
    </row>
    <row r="43" spans="2:4">
      <c r="B43">
        <v>2941</v>
      </c>
      <c r="C43">
        <v>4</v>
      </c>
    </row>
    <row r="44" spans="2:4">
      <c r="B44">
        <v>2941</v>
      </c>
      <c r="C44">
        <v>5</v>
      </c>
    </row>
    <row r="45" spans="2:4">
      <c r="B45">
        <v>2941</v>
      </c>
      <c r="C45">
        <v>6</v>
      </c>
    </row>
    <row r="46" spans="2:4">
      <c r="B46">
        <v>2941</v>
      </c>
      <c r="C46">
        <v>7</v>
      </c>
    </row>
    <row r="47" spans="2:4">
      <c r="B47">
        <v>2941</v>
      </c>
      <c r="C47">
        <v>8</v>
      </c>
    </row>
    <row r="48" spans="2:4">
      <c r="B48">
        <v>2941</v>
      </c>
      <c r="C48">
        <v>9</v>
      </c>
    </row>
    <row r="49" spans="2:4">
      <c r="B49">
        <v>2941</v>
      </c>
      <c r="C49">
        <v>10</v>
      </c>
    </row>
    <row r="50" spans="2:4">
      <c r="C50" s="2" t="s">
        <v>34</v>
      </c>
      <c r="D50" s="20" t="e">
        <f>AVERAGE(D40:D49)</f>
        <v>#DIV/0!</v>
      </c>
    </row>
    <row r="51" spans="2:4">
      <c r="C51" s="2" t="s">
        <v>10</v>
      </c>
      <c r="D51" s="20" t="e">
        <f>STDEV(D40:D49)</f>
        <v>#DIV/0!</v>
      </c>
    </row>
    <row r="52" spans="2:4">
      <c r="B52">
        <v>4903</v>
      </c>
      <c r="C52">
        <v>1</v>
      </c>
    </row>
    <row r="53" spans="2:4">
      <c r="B53">
        <v>4903</v>
      </c>
      <c r="C53">
        <v>2</v>
      </c>
    </row>
    <row r="54" spans="2:4">
      <c r="B54">
        <v>4903</v>
      </c>
      <c r="C54">
        <v>3</v>
      </c>
    </row>
    <row r="55" spans="2:4">
      <c r="B55">
        <v>4903</v>
      </c>
      <c r="C55">
        <v>4</v>
      </c>
    </row>
    <row r="56" spans="2:4">
      <c r="B56">
        <v>4903</v>
      </c>
      <c r="C56">
        <v>5</v>
      </c>
    </row>
    <row r="57" spans="2:4">
      <c r="B57">
        <v>4903</v>
      </c>
      <c r="C57">
        <v>6</v>
      </c>
    </row>
    <row r="58" spans="2:4">
      <c r="B58">
        <v>4903</v>
      </c>
      <c r="C58">
        <v>7</v>
      </c>
    </row>
    <row r="59" spans="2:4">
      <c r="B59">
        <v>4903</v>
      </c>
      <c r="C59">
        <v>8</v>
      </c>
    </row>
    <row r="60" spans="2:4">
      <c r="B60">
        <v>4903</v>
      </c>
      <c r="C60">
        <v>9</v>
      </c>
    </row>
    <row r="61" spans="2:4">
      <c r="B61">
        <v>4903</v>
      </c>
      <c r="C61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1"/>
  <sheetViews>
    <sheetView topLeftCell="J1" zoomScale="150" zoomScaleNormal="150" zoomScalePageLayoutView="150" workbookViewId="0">
      <selection activeCell="Y7" sqref="Y7"/>
    </sheetView>
  </sheetViews>
  <sheetFormatPr baseColWidth="10" defaultRowHeight="15" x14ac:dyDescent="0"/>
  <cols>
    <col min="1" max="1" width="10.83203125" style="42"/>
    <col min="4" max="4" width="12.6640625" bestFit="1" customWidth="1"/>
    <col min="5" max="5" width="19.5" bestFit="1" customWidth="1"/>
    <col min="6" max="7" width="10.83203125" style="42"/>
    <col min="10" max="10" width="13" bestFit="1" customWidth="1"/>
    <col min="11" max="11" width="15.33203125" bestFit="1" customWidth="1"/>
    <col min="12" max="12" width="16.33203125" bestFit="1" customWidth="1"/>
    <col min="13" max="13" width="16.33203125" customWidth="1"/>
    <col min="14" max="15" width="10.83203125" style="42"/>
    <col min="16" max="16" width="16.6640625" bestFit="1" customWidth="1"/>
    <col min="17" max="17" width="16.6640625" customWidth="1"/>
    <col min="18" max="43" width="10.83203125" style="42"/>
  </cols>
  <sheetData>
    <row r="2" spans="1:43">
      <c r="P2" t="s">
        <v>85</v>
      </c>
      <c r="Q2" t="s">
        <v>86</v>
      </c>
      <c r="U2" s="42" t="s">
        <v>63</v>
      </c>
      <c r="X2" s="42" t="s">
        <v>102</v>
      </c>
    </row>
    <row r="3" spans="1:43">
      <c r="B3" s="2" t="s">
        <v>0</v>
      </c>
      <c r="C3" s="2" t="s">
        <v>1</v>
      </c>
      <c r="D3" s="2" t="s">
        <v>41</v>
      </c>
      <c r="E3" s="2" t="s">
        <v>42</v>
      </c>
      <c r="F3" s="41" t="s">
        <v>19</v>
      </c>
      <c r="G3" s="41"/>
      <c r="H3" s="2" t="s">
        <v>36</v>
      </c>
      <c r="I3" s="2" t="s">
        <v>37</v>
      </c>
      <c r="J3" s="2" t="s">
        <v>38</v>
      </c>
      <c r="K3" s="2" t="s">
        <v>39</v>
      </c>
      <c r="L3" s="2" t="s">
        <v>61</v>
      </c>
      <c r="M3" s="2" t="s">
        <v>84</v>
      </c>
      <c r="N3" s="41" t="s">
        <v>19</v>
      </c>
      <c r="O3" s="41"/>
      <c r="P3" s="2" t="s">
        <v>40</v>
      </c>
      <c r="Q3" s="2" t="s">
        <v>87</v>
      </c>
      <c r="R3" s="41" t="s">
        <v>19</v>
      </c>
      <c r="S3" s="41"/>
      <c r="U3" t="s">
        <v>62</v>
      </c>
      <c r="V3"/>
      <c r="W3"/>
      <c r="X3" t="s">
        <v>62</v>
      </c>
    </row>
    <row r="4" spans="1:43" s="23" customFormat="1">
      <c r="A4" s="42">
        <v>0.1</v>
      </c>
      <c r="B4" s="23">
        <v>245</v>
      </c>
      <c r="C4" s="23">
        <v>1</v>
      </c>
      <c r="D4" s="23">
        <v>37.207000000000001</v>
      </c>
      <c r="E4" s="23">
        <v>38.170999999999999</v>
      </c>
      <c r="F4" s="42"/>
      <c r="G4" s="42"/>
      <c r="H4" s="23">
        <v>31.445499999999999</v>
      </c>
      <c r="I4" s="23">
        <v>31.445499999999999</v>
      </c>
      <c r="J4" s="24">
        <f>AVERAGE(H4:I4)</f>
        <v>31.445499999999999</v>
      </c>
      <c r="K4" s="24">
        <f>STDEV(H4:I4)</f>
        <v>0</v>
      </c>
      <c r="L4" s="23">
        <v>32.289499999999997</v>
      </c>
      <c r="M4" s="53">
        <v>34.197000000000003</v>
      </c>
      <c r="N4" s="42"/>
      <c r="O4" s="42"/>
      <c r="P4" s="23">
        <v>35.9251</v>
      </c>
      <c r="Q4" s="23">
        <v>32.744900000000001</v>
      </c>
      <c r="R4" s="42"/>
      <c r="S4" s="42"/>
      <c r="T4" s="42"/>
      <c r="U4">
        <v>1</v>
      </c>
      <c r="V4">
        <v>0.18703</v>
      </c>
      <c r="W4"/>
      <c r="X4" s="42">
        <v>1</v>
      </c>
      <c r="Y4" s="42">
        <v>5.9900000000000002E-2</v>
      </c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</row>
    <row r="5" spans="1:43" s="23" customFormat="1">
      <c r="A5" s="42"/>
      <c r="B5" s="23">
        <v>245</v>
      </c>
      <c r="C5" s="23">
        <v>2</v>
      </c>
      <c r="D5" s="23">
        <v>34.234000000000002</v>
      </c>
      <c r="F5" s="42"/>
      <c r="G5" s="42"/>
      <c r="H5" s="23">
        <v>30.0503</v>
      </c>
      <c r="I5" s="23">
        <v>30.084599999999998</v>
      </c>
      <c r="J5" s="24">
        <f>AVERAGE(H5:I5)</f>
        <v>30.067450000000001</v>
      </c>
      <c r="K5" s="24">
        <f>STDEV(H5:I5)</f>
        <v>2.4253762594697324E-2</v>
      </c>
      <c r="L5" s="53">
        <v>31.642700000000001</v>
      </c>
      <c r="M5" s="53">
        <v>32.245399999999997</v>
      </c>
      <c r="N5" s="42"/>
      <c r="O5" s="42"/>
      <c r="P5" s="53">
        <v>34.667000000000002</v>
      </c>
      <c r="Q5" s="53">
        <v>33.024500000000003</v>
      </c>
      <c r="R5" s="42"/>
      <c r="S5" s="42"/>
      <c r="T5" s="42"/>
      <c r="U5">
        <v>2</v>
      </c>
      <c r="V5">
        <v>0.18687999999999999</v>
      </c>
      <c r="W5"/>
      <c r="X5" s="42">
        <v>2</v>
      </c>
      <c r="Y5" s="42">
        <v>5.9900000000000002E-2</v>
      </c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</row>
    <row r="6" spans="1:43" s="23" customFormat="1">
      <c r="A6" s="42"/>
      <c r="B6" s="23">
        <v>245</v>
      </c>
      <c r="C6" s="23">
        <v>3</v>
      </c>
      <c r="E6" s="23">
        <v>42.972999999999999</v>
      </c>
      <c r="F6" s="42"/>
      <c r="G6" s="42"/>
      <c r="H6" s="23">
        <v>29.550899999999999</v>
      </c>
      <c r="I6" s="23">
        <v>29.550899999999999</v>
      </c>
      <c r="J6" s="24">
        <f>AVERAGE(H6:I6)</f>
        <v>29.550899999999999</v>
      </c>
      <c r="K6" s="24">
        <f>STDEV(H6:I6)</f>
        <v>0</v>
      </c>
      <c r="L6" s="53">
        <v>30.452500000000001</v>
      </c>
      <c r="M6" s="53">
        <v>32.6584</v>
      </c>
      <c r="N6" s="42"/>
      <c r="O6" s="42"/>
      <c r="P6" s="23">
        <v>34.352499999999999</v>
      </c>
      <c r="R6" s="42"/>
      <c r="S6" s="42"/>
      <c r="T6" s="42"/>
      <c r="U6">
        <v>3</v>
      </c>
      <c r="V6">
        <v>0.18692</v>
      </c>
      <c r="W6"/>
      <c r="X6" s="42">
        <v>3</v>
      </c>
      <c r="Y6" s="42">
        <v>6.0100000000000001E-2</v>
      </c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</row>
    <row r="7" spans="1:43" s="23" customFormat="1">
      <c r="A7" s="42"/>
      <c r="B7" s="23">
        <v>245</v>
      </c>
      <c r="C7" s="23">
        <v>4</v>
      </c>
      <c r="D7" s="23">
        <v>34.494999999999997</v>
      </c>
      <c r="E7" s="23">
        <v>36.805</v>
      </c>
      <c r="F7" s="42"/>
      <c r="G7" s="42"/>
      <c r="H7" s="23">
        <v>29.8353</v>
      </c>
      <c r="I7" s="23">
        <v>29.8353</v>
      </c>
      <c r="J7" s="24">
        <f>AVERAGE(H7:I7)</f>
        <v>29.8353</v>
      </c>
      <c r="K7" s="24">
        <f>STDEV(H7:I7)</f>
        <v>0</v>
      </c>
      <c r="L7" s="53">
        <v>29.8047</v>
      </c>
      <c r="M7" s="53">
        <v>32.823500000000003</v>
      </c>
      <c r="N7" s="42"/>
      <c r="O7" s="42"/>
      <c r="P7" s="23">
        <v>34.806800000000003</v>
      </c>
      <c r="Q7" s="23">
        <v>32.465400000000002</v>
      </c>
      <c r="R7" s="42"/>
      <c r="S7" s="42"/>
      <c r="T7" s="42"/>
      <c r="U7" t="s">
        <v>34</v>
      </c>
      <c r="V7" s="55">
        <f>AVERAGE(V4:V6)</f>
        <v>0.18694333333333332</v>
      </c>
      <c r="W7" s="55"/>
      <c r="X7" t="s">
        <v>34</v>
      </c>
      <c r="Y7" s="50">
        <f>AVERAGE(Y4:Y6)</f>
        <v>5.9966666666666668E-2</v>
      </c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</row>
    <row r="8" spans="1:43" s="23" customFormat="1">
      <c r="A8" s="42"/>
      <c r="C8" s="25" t="s">
        <v>34</v>
      </c>
      <c r="D8" s="26">
        <f>AVERAGE(D4:D7)</f>
        <v>35.312000000000005</v>
      </c>
      <c r="E8" s="26">
        <f>AVERAGE(E4:E7)</f>
        <v>39.31633333333334</v>
      </c>
      <c r="F8" s="43">
        <f>B4/E8</f>
        <v>6.2315068377010396</v>
      </c>
      <c r="G8" s="43"/>
      <c r="I8" s="25" t="s">
        <v>34</v>
      </c>
      <c r="J8" s="26">
        <f>AVERAGE(J4:J7)</f>
        <v>30.224787500000001</v>
      </c>
      <c r="L8" s="26">
        <f>AVERAGE(L4:L7)</f>
        <v>31.047349999999998</v>
      </c>
      <c r="M8" s="26">
        <f>AVERAGE(M4:M7)</f>
        <v>32.981074999999997</v>
      </c>
      <c r="N8" s="43">
        <f>B4/M8</f>
        <v>7.4285025579063149</v>
      </c>
      <c r="O8" s="43"/>
      <c r="P8" s="26">
        <f>AVERAGE(P4:P7)</f>
        <v>34.937850000000005</v>
      </c>
      <c r="Q8" s="26">
        <f>AVERAGE(Q4:Q7)</f>
        <v>32.744933333333336</v>
      </c>
      <c r="R8" s="45">
        <f>B4/Q8</f>
        <v>7.4820735625257031</v>
      </c>
      <c r="S8" s="45"/>
      <c r="T8" s="42"/>
      <c r="U8" t="s">
        <v>10</v>
      </c>
      <c r="V8" s="55">
        <f>STDEV(V4:V6)</f>
        <v>7.7674534651544719E-5</v>
      </c>
      <c r="W8" s="55"/>
      <c r="X8" t="s">
        <v>10</v>
      </c>
      <c r="Y8" s="50">
        <f>STDEV(Y4:Y6)</f>
        <v>1.1547005383792445E-4</v>
      </c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</row>
    <row r="9" spans="1:43" s="23" customFormat="1">
      <c r="A9" s="42"/>
      <c r="C9" s="23" t="s">
        <v>10</v>
      </c>
      <c r="D9" s="27">
        <f>STDEV(D4:D7)</f>
        <v>1.6462985755931401</v>
      </c>
      <c r="E9" s="27">
        <f>STDEV(E4:E7)</f>
        <v>3.239582894962457</v>
      </c>
      <c r="F9" s="43">
        <f>F8*SQRT((0)^2+(E9/E8)^2)</f>
        <v>0.51346301269000694</v>
      </c>
      <c r="G9" s="43">
        <f>F9/F8*100</f>
        <v>8.2397889637787252</v>
      </c>
      <c r="I9" s="23" t="s">
        <v>10</v>
      </c>
      <c r="J9" s="27">
        <f>STDEV(J4:J7)</f>
        <v>0.84077721422403751</v>
      </c>
      <c r="L9" s="27">
        <f>STDEV(L4:L7)</f>
        <v>1.124782021845417</v>
      </c>
      <c r="M9" s="27">
        <f>STDEV(M4:M7)</f>
        <v>0.84629394962192084</v>
      </c>
      <c r="N9" s="43">
        <f>N8*SQRT((0)^2+(M9/M8)^2)</f>
        <v>0.19061527768597833</v>
      </c>
      <c r="O9" s="43">
        <f>N9/N8*100</f>
        <v>2.5659986814314601</v>
      </c>
      <c r="P9" s="27">
        <f>STDEV(P4:P7)</f>
        <v>0.68503795758580666</v>
      </c>
      <c r="Q9" s="27">
        <f>STDEV(Q4:Q7)</f>
        <v>0.27955000149049108</v>
      </c>
      <c r="R9" s="45">
        <f>R8*SQRT((0)^2+(Q9/Q8)^2)</f>
        <v>6.3875948509775266E-2</v>
      </c>
      <c r="S9" s="43">
        <f>R9/R8*100</f>
        <v>0.8537198675738874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</row>
    <row r="10" spans="1:43" s="28" customFormat="1">
      <c r="A10" s="42">
        <v>0.1</v>
      </c>
      <c r="B10" s="28">
        <v>490</v>
      </c>
      <c r="C10" s="28">
        <v>1</v>
      </c>
      <c r="D10" s="28">
        <v>69.230999999999995</v>
      </c>
      <c r="E10" s="28">
        <v>76.784999999999997</v>
      </c>
      <c r="F10" s="45"/>
      <c r="G10" s="45"/>
      <c r="H10" s="28">
        <v>57.530500000000004</v>
      </c>
      <c r="I10" s="28">
        <v>57.6447</v>
      </c>
      <c r="J10" s="29">
        <f>AVERAGE(H10:I10)</f>
        <v>57.587600000000002</v>
      </c>
      <c r="K10" s="29">
        <f>STDEV(H10:I10)</f>
        <v>8.0751594411501426E-2</v>
      </c>
      <c r="L10" s="51">
        <v>59.0229</v>
      </c>
      <c r="M10" s="51">
        <v>65.555499999999995</v>
      </c>
      <c r="N10" s="42"/>
      <c r="O10" s="42"/>
      <c r="P10" s="28">
        <v>67.726399999999998</v>
      </c>
      <c r="Q10" s="28">
        <v>62.938800000000001</v>
      </c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</row>
    <row r="11" spans="1:43" s="28" customFormat="1">
      <c r="A11" s="42"/>
      <c r="B11" s="28">
        <v>490</v>
      </c>
      <c r="C11" s="28">
        <v>2</v>
      </c>
      <c r="F11" s="45"/>
      <c r="G11" s="45"/>
      <c r="H11" s="30"/>
      <c r="I11" s="30"/>
      <c r="J11" s="31"/>
      <c r="K11" s="31"/>
      <c r="L11" s="52"/>
      <c r="M11" s="52"/>
      <c r="N11" s="42"/>
      <c r="O11" s="42"/>
      <c r="P11" s="28">
        <v>77.476500000000001</v>
      </c>
      <c r="Q11" s="28">
        <v>67.726399999999998</v>
      </c>
      <c r="R11" s="42"/>
      <c r="S11" s="42"/>
      <c r="T11" s="42"/>
      <c r="U11" s="42" t="s">
        <v>0</v>
      </c>
      <c r="V11" s="42" t="s">
        <v>63</v>
      </c>
      <c r="W11" s="42" t="s">
        <v>66</v>
      </c>
      <c r="X11" s="42" t="s">
        <v>64</v>
      </c>
      <c r="Y11" s="42" t="s">
        <v>66</v>
      </c>
      <c r="Z11" s="42" t="s">
        <v>65</v>
      </c>
      <c r="AA11" s="42" t="s">
        <v>66</v>
      </c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</row>
    <row r="12" spans="1:43" s="28" customFormat="1">
      <c r="A12" s="42"/>
      <c r="B12" s="28">
        <v>490</v>
      </c>
      <c r="C12" s="28">
        <v>3</v>
      </c>
      <c r="E12" s="28">
        <v>70.697999999999993</v>
      </c>
      <c r="F12" s="45"/>
      <c r="G12" s="45"/>
      <c r="H12" s="28">
        <v>62.307299999999998</v>
      </c>
      <c r="I12" s="28">
        <v>61.901600000000002</v>
      </c>
      <c r="J12" s="29">
        <f>AVERAGE(H12:I12)</f>
        <v>62.10445</v>
      </c>
      <c r="K12" s="29">
        <f>STDEV(H12:I12)</f>
        <v>0.28687322112737945</v>
      </c>
      <c r="L12" s="51">
        <v>62.274500000000003</v>
      </c>
      <c r="M12" s="51">
        <v>67.159300000000002</v>
      </c>
      <c r="N12" s="42"/>
      <c r="O12" s="42"/>
      <c r="P12" s="28">
        <v>66.608199999999997</v>
      </c>
      <c r="Q12" s="28">
        <v>62.973700000000001</v>
      </c>
      <c r="R12" s="42"/>
      <c r="S12" s="42"/>
      <c r="T12" s="42"/>
      <c r="U12" s="42">
        <v>245.2</v>
      </c>
      <c r="V12" s="56">
        <f>N8</f>
        <v>7.4285025579063149</v>
      </c>
      <c r="W12" s="56">
        <f>N9</f>
        <v>0.19061527768597833</v>
      </c>
      <c r="X12" s="56">
        <f>F8</f>
        <v>6.2315068377010396</v>
      </c>
      <c r="Y12" s="56">
        <f>F9</f>
        <v>0.51346301269000694</v>
      </c>
      <c r="Z12" s="56">
        <f>R8</f>
        <v>7.4820735625257031</v>
      </c>
      <c r="AA12" s="56">
        <f>R9</f>
        <v>6.3875948509775266E-2</v>
      </c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</row>
    <row r="13" spans="1:43" s="28" customFormat="1">
      <c r="A13" s="42"/>
      <c r="B13" s="28">
        <v>490</v>
      </c>
      <c r="C13" s="28">
        <v>4</v>
      </c>
      <c r="E13" s="44">
        <v>80.06</v>
      </c>
      <c r="F13" s="45"/>
      <c r="G13" s="45"/>
      <c r="H13" s="28">
        <v>59.804699999999997</v>
      </c>
      <c r="I13" s="28">
        <v>59.804699999999997</v>
      </c>
      <c r="J13" s="29">
        <f>AVERAGE(H13:I13)</f>
        <v>59.804699999999997</v>
      </c>
      <c r="K13" s="29">
        <f>STDEV(H13:I13)</f>
        <v>0</v>
      </c>
      <c r="L13" s="51">
        <v>60.290599999999998</v>
      </c>
      <c r="M13" s="51">
        <v>65.700400000000002</v>
      </c>
      <c r="N13" s="42"/>
      <c r="O13" s="42"/>
      <c r="P13" s="28">
        <v>71.116299999999995</v>
      </c>
      <c r="Q13" s="28">
        <v>68.215699999999998</v>
      </c>
      <c r="R13" s="42"/>
      <c r="S13" s="42"/>
      <c r="T13" s="42"/>
      <c r="U13" s="42">
        <v>490.3</v>
      </c>
      <c r="V13" s="56">
        <f>N14</f>
        <v>7.4087065910272996</v>
      </c>
      <c r="W13" s="56">
        <f>N15</f>
        <v>9.9370122886482809E-2</v>
      </c>
      <c r="X13" s="56">
        <f>F14</f>
        <v>6.4603173905591467</v>
      </c>
      <c r="Y13" s="56">
        <f>F15</f>
        <v>0.40465434241416237</v>
      </c>
      <c r="Z13" s="56">
        <f>R14</f>
        <v>7.4850699586717209</v>
      </c>
      <c r="AA13" s="56">
        <f>R15</f>
        <v>0.33183718794899358</v>
      </c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</row>
    <row r="14" spans="1:43" s="28" customFormat="1">
      <c r="A14" s="42"/>
      <c r="C14" s="32" t="s">
        <v>34</v>
      </c>
      <c r="D14" s="33">
        <f>AVERAGE(D10:D13)</f>
        <v>69.230999999999995</v>
      </c>
      <c r="E14" s="33">
        <f>AVERAGE(E10:E13)</f>
        <v>75.847666666666669</v>
      </c>
      <c r="F14" s="43">
        <f>B10/E14</f>
        <v>6.4603173905591467</v>
      </c>
      <c r="G14" s="43"/>
      <c r="I14" s="32" t="s">
        <v>34</v>
      </c>
      <c r="J14" s="33">
        <f>AVERAGE(J10:J13)</f>
        <v>59.832249999999995</v>
      </c>
      <c r="L14" s="33">
        <f>AVERAGE(L10:L13)</f>
        <v>60.529333333333341</v>
      </c>
      <c r="M14" s="33">
        <f>AVERAGE(M10:M13)</f>
        <v>66.138400000000004</v>
      </c>
      <c r="N14" s="43">
        <f>B10/M14</f>
        <v>7.4087065910272996</v>
      </c>
      <c r="O14" s="43"/>
      <c r="P14" s="33">
        <f>AVERAGE(P10:P13)</f>
        <v>70.731850000000009</v>
      </c>
      <c r="Q14" s="33">
        <f>AVERAGE(Q10:Q13)</f>
        <v>65.463650000000001</v>
      </c>
      <c r="R14" s="43">
        <f>B10/Q14</f>
        <v>7.4850699586717209</v>
      </c>
      <c r="S14" s="43"/>
      <c r="T14" s="42"/>
      <c r="U14" s="42">
        <v>2942</v>
      </c>
      <c r="V14" s="56">
        <f>N20</f>
        <v>7.0826324979803248</v>
      </c>
      <c r="W14" s="56">
        <f>N21</f>
        <v>0.32339382259507826</v>
      </c>
      <c r="X14" s="56">
        <f>F20</f>
        <v>7.62883710799135</v>
      </c>
      <c r="Y14" s="56">
        <f>F21</f>
        <v>0.1424828814607475</v>
      </c>
      <c r="Z14" s="56">
        <f>R20</f>
        <v>7.9480421732519204</v>
      </c>
      <c r="AA14" s="56">
        <f>R21</f>
        <v>3.0774781786817626E-2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</row>
    <row r="15" spans="1:43" s="28" customFormat="1">
      <c r="A15" s="42"/>
      <c r="C15" s="28" t="s">
        <v>10</v>
      </c>
      <c r="D15" s="34" t="e">
        <f>STDEV(D10:D13)</f>
        <v>#DIV/0!</v>
      </c>
      <c r="E15" s="34">
        <f>STDEV(E10:E13)</f>
        <v>4.7508637460290712</v>
      </c>
      <c r="F15" s="43">
        <f>F14*SQRT((0)^2+(E15/E14)^2)</f>
        <v>0.40465434241416237</v>
      </c>
      <c r="G15" s="43">
        <f>F15/F14*100</f>
        <v>6.2636913629895066</v>
      </c>
      <c r="I15" s="28" t="s">
        <v>10</v>
      </c>
      <c r="J15" s="34">
        <f>STDEV(J10:J13)</f>
        <v>2.2585510249936784</v>
      </c>
      <c r="L15" s="34">
        <f>STDEV(L10:L13)</f>
        <v>1.638893176303245</v>
      </c>
      <c r="M15" s="34">
        <f>STDEV(M10:M13)</f>
        <v>0.88708883997038535</v>
      </c>
      <c r="N15" s="43">
        <f>N14*SQRT((0)^2+(M15/M14)^2)</f>
        <v>9.9370122886482809E-2</v>
      </c>
      <c r="O15" s="43">
        <f>N15/N14*100</f>
        <v>1.341261415411297</v>
      </c>
      <c r="P15" s="34">
        <f>STDEV(P10:P13)</f>
        <v>4.8879213185838708</v>
      </c>
      <c r="Q15" s="34">
        <f>STDEV(Q10:Q13)</f>
        <v>2.9022138268340356</v>
      </c>
      <c r="R15" s="43">
        <f>R14*SQRT((0)^2+(Q15/Q14)^2)</f>
        <v>0.33183718794899358</v>
      </c>
      <c r="S15" s="43">
        <f>R15/R14*100</f>
        <v>4.4333211283422722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</row>
    <row r="16" spans="1:43" s="7" customFormat="1">
      <c r="A16" s="42">
        <v>1</v>
      </c>
      <c r="B16" s="7">
        <v>2942</v>
      </c>
      <c r="C16" s="35">
        <v>1</v>
      </c>
      <c r="D16" s="8">
        <v>396.38</v>
      </c>
      <c r="E16" s="8">
        <v>390.73500000000001</v>
      </c>
      <c r="F16" s="45"/>
      <c r="G16" s="45"/>
      <c r="H16" s="7">
        <v>365.06650000000002</v>
      </c>
      <c r="I16" s="7">
        <v>363.6447</v>
      </c>
      <c r="J16" s="36">
        <f>AVERAGE(H16:I16)</f>
        <v>364.35559999999998</v>
      </c>
      <c r="K16" s="36">
        <f>STDEV(H16:I16)</f>
        <v>1.0053644214910467</v>
      </c>
      <c r="L16" s="7">
        <v>367.33859999999999</v>
      </c>
      <c r="M16" s="7">
        <v>417.25529999999998</v>
      </c>
      <c r="N16" s="42"/>
      <c r="O16" s="42"/>
      <c r="P16" s="7">
        <v>361.34750000000003</v>
      </c>
      <c r="Q16" s="7">
        <v>371.16750000000002</v>
      </c>
      <c r="R16" s="42"/>
      <c r="S16" s="42"/>
      <c r="T16" s="42"/>
      <c r="U16" s="42"/>
      <c r="V16" s="42"/>
      <c r="W16" s="42"/>
      <c r="X16" s="42">
        <f>(X12-V12)/V12*100</f>
        <v>-16.113553315415999</v>
      </c>
      <c r="Y16" s="42"/>
      <c r="Z16" s="42">
        <f>(Z12-V12)/V12*100</f>
        <v>0.72115482497036332</v>
      </c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</row>
    <row r="17" spans="1:43" s="7" customFormat="1">
      <c r="A17" s="42"/>
      <c r="B17" s="7">
        <v>2942</v>
      </c>
      <c r="C17" s="35">
        <v>2</v>
      </c>
      <c r="F17" s="45"/>
      <c r="G17" s="45"/>
      <c r="H17" s="7">
        <v>345.38619999999997</v>
      </c>
      <c r="I17" s="7">
        <v>345.38619999999997</v>
      </c>
      <c r="J17" s="36">
        <f>AVERAGE(H17:I17)</f>
        <v>345.38619999999997</v>
      </c>
      <c r="K17" s="36">
        <f>STDEV(H17:I17)</f>
        <v>0</v>
      </c>
      <c r="L17" s="54">
        <v>347.58150000000001</v>
      </c>
      <c r="M17" s="54">
        <v>388.35489999999999</v>
      </c>
      <c r="N17" s="42"/>
      <c r="O17" s="42"/>
      <c r="P17" s="7">
        <v>379.20519999999999</v>
      </c>
      <c r="Q17" s="7">
        <v>369.14060000000001</v>
      </c>
      <c r="R17" s="42"/>
      <c r="S17" s="42"/>
      <c r="T17" s="42"/>
      <c r="U17" s="42"/>
      <c r="V17" s="42"/>
      <c r="W17" s="42"/>
      <c r="X17" s="42">
        <f t="shared" ref="X17:X18" si="0">(X13-V13)/V13*100</f>
        <v>-12.801009040049568</v>
      </c>
      <c r="Y17" s="42"/>
      <c r="Z17" s="42">
        <f t="shared" ref="Z17:Z18" si="1">(Z13-V13)/V13*100</f>
        <v>1.0307246846150602</v>
      </c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</row>
    <row r="18" spans="1:43" s="7" customFormat="1">
      <c r="A18" s="42"/>
      <c r="B18" s="7">
        <v>2942</v>
      </c>
      <c r="C18" s="35">
        <v>3</v>
      </c>
      <c r="D18" s="7">
        <v>384.065</v>
      </c>
      <c r="E18" s="7">
        <v>380.54899999999998</v>
      </c>
      <c r="F18" s="45"/>
      <c r="G18" s="45"/>
      <c r="H18" s="7">
        <v>357.85079999999999</v>
      </c>
      <c r="I18" s="7">
        <v>354.88420000000002</v>
      </c>
      <c r="J18" s="36">
        <f>AVERAGE(H18:I18)</f>
        <v>356.36750000000001</v>
      </c>
      <c r="K18" s="36">
        <f>STDEV(H18:I18)</f>
        <v>2.0977029770679918</v>
      </c>
      <c r="L18" s="54">
        <v>360.84500000000003</v>
      </c>
      <c r="M18" s="54">
        <v>424.16370000000001</v>
      </c>
      <c r="N18" s="42"/>
      <c r="O18" s="42"/>
      <c r="P18" s="7">
        <v>373.50889999999998</v>
      </c>
      <c r="R18" s="42"/>
      <c r="S18" s="42"/>
      <c r="T18" s="42"/>
      <c r="U18" s="42"/>
      <c r="V18" s="42"/>
      <c r="W18" s="42"/>
      <c r="X18" s="42">
        <f t="shared" si="0"/>
        <v>7.7118869314026988</v>
      </c>
      <c r="Y18" s="42"/>
      <c r="Z18" s="42">
        <f t="shared" si="1"/>
        <v>12.218757298481529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</row>
    <row r="19" spans="1:43" s="7" customFormat="1">
      <c r="A19" s="42"/>
      <c r="B19" s="7">
        <v>2942</v>
      </c>
      <c r="C19" s="35">
        <v>4</v>
      </c>
      <c r="F19" s="45"/>
      <c r="G19" s="45"/>
      <c r="H19" s="37"/>
      <c r="I19" s="38"/>
      <c r="J19" s="38"/>
      <c r="K19" s="38"/>
      <c r="L19" s="35">
        <v>368.45240000000001</v>
      </c>
      <c r="M19" s="35">
        <v>431.7552</v>
      </c>
      <c r="N19" s="42"/>
      <c r="O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</row>
    <row r="20" spans="1:43" s="7" customFormat="1">
      <c r="A20" s="42"/>
      <c r="C20" s="39" t="s">
        <v>34</v>
      </c>
      <c r="D20" s="40">
        <f>AVERAGE(D16:D19)</f>
        <v>390.22249999999997</v>
      </c>
      <c r="E20" s="40">
        <f>AVERAGE(E16:E19)</f>
        <v>385.642</v>
      </c>
      <c r="F20" s="45">
        <f>B16/E20</f>
        <v>7.62883710799135</v>
      </c>
      <c r="G20" s="45"/>
      <c r="I20" s="39" t="s">
        <v>34</v>
      </c>
      <c r="J20" s="40">
        <f>AVERAGE(J16:J19)</f>
        <v>355.36976666666669</v>
      </c>
      <c r="L20" s="40">
        <f>AVERAGE(L16:L19)</f>
        <v>361.05437500000005</v>
      </c>
      <c r="M20" s="40">
        <f>AVERAGE(M16:M19)</f>
        <v>415.38227499999999</v>
      </c>
      <c r="N20" s="43">
        <f>B16/M20</f>
        <v>7.0826324979803248</v>
      </c>
      <c r="O20" s="43"/>
      <c r="P20" s="40">
        <f>AVERAGE(P16:P19)</f>
        <v>371.35386666666665</v>
      </c>
      <c r="Q20" s="40">
        <f>AVERAGE(Q16:Q19)</f>
        <v>370.15404999999998</v>
      </c>
      <c r="R20" s="45">
        <f>B16/Q20</f>
        <v>7.9480421732519204</v>
      </c>
      <c r="S20" s="45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</row>
    <row r="21" spans="1:43" s="7" customFormat="1">
      <c r="A21" s="42"/>
      <c r="C21" s="7" t="s">
        <v>10</v>
      </c>
      <c r="D21" s="19">
        <f>STDEV(D16:D19)</f>
        <v>8.7080200103123317</v>
      </c>
      <c r="E21" s="19">
        <f>STDEV(E16:E19)</f>
        <v>7.202589673166198</v>
      </c>
      <c r="F21" s="45">
        <f>F20*SQRT((0)^2+(E21/E20)^2)</f>
        <v>0.1424828814607475</v>
      </c>
      <c r="G21" s="43">
        <f>F21/F20*100</f>
        <v>1.8676880819947512</v>
      </c>
      <c r="I21" s="7" t="s">
        <v>10</v>
      </c>
      <c r="J21" s="19">
        <f>STDEV(J16:J19)</f>
        <v>9.5239770024571886</v>
      </c>
      <c r="L21" s="19">
        <f>STDEV(L16:L19)</f>
        <v>9.5879169862819147</v>
      </c>
      <c r="M21" s="19">
        <f>STDEV(M16:M19)</f>
        <v>18.966402928402115</v>
      </c>
      <c r="N21" s="43">
        <f>N20*SQRT((0)^2+(M21/M20)^2)</f>
        <v>0.32339382259507826</v>
      </c>
      <c r="O21" s="43">
        <f>N21/N20*100</f>
        <v>4.566011616264106</v>
      </c>
      <c r="P21" s="19">
        <f>STDEV(P16:P19)</f>
        <v>9.1218138998410279</v>
      </c>
      <c r="Q21" s="19">
        <f>STDEV(Q16:Q19)</f>
        <v>1.4332347347870218</v>
      </c>
      <c r="R21" s="45">
        <f>R20*SQRT((0)^2+(Q21/Q20)^2)</f>
        <v>3.0774781786817626E-2</v>
      </c>
      <c r="S21" s="43">
        <f>R21/R20*100</f>
        <v>0.3871995280848668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4"/>
  <sheetViews>
    <sheetView topLeftCell="AD4" zoomScale="150" zoomScaleNormal="150" zoomScalePageLayoutView="150" workbookViewId="0">
      <selection activeCell="AN8" sqref="AN8"/>
    </sheetView>
  </sheetViews>
  <sheetFormatPr baseColWidth="10" defaultRowHeight="15" x14ac:dyDescent="0"/>
  <cols>
    <col min="8" max="8" width="12.33203125" bestFit="1" customWidth="1"/>
    <col min="12" max="12" width="12.6640625" bestFit="1" customWidth="1"/>
    <col min="13" max="15" width="12.6640625" customWidth="1"/>
    <col min="16" max="16" width="12.6640625" style="42" customWidth="1"/>
    <col min="17" max="24" width="12.6640625" customWidth="1"/>
    <col min="28" max="28" width="11.6640625" bestFit="1" customWidth="1"/>
    <col min="30" max="30" width="12" bestFit="1" customWidth="1"/>
    <col min="36" max="36" width="7.6640625" bestFit="1" customWidth="1"/>
    <col min="37" max="37" width="11.1640625" bestFit="1" customWidth="1"/>
    <col min="38" max="38" width="6.5" bestFit="1" customWidth="1"/>
    <col min="39" max="39" width="11.1640625" bestFit="1" customWidth="1"/>
    <col min="40" max="40" width="13.6640625" bestFit="1" customWidth="1"/>
  </cols>
  <sheetData>
    <row r="2" spans="2:41">
      <c r="B2" t="s">
        <v>43</v>
      </c>
    </row>
    <row r="3" spans="2:41">
      <c r="B3" t="s">
        <v>46</v>
      </c>
    </row>
    <row r="5" spans="2:41">
      <c r="Q5" t="s">
        <v>80</v>
      </c>
      <c r="Z5" t="s">
        <v>55</v>
      </c>
      <c r="AI5" t="s">
        <v>81</v>
      </c>
    </row>
    <row r="6" spans="2:41">
      <c r="B6" s="2" t="s">
        <v>54</v>
      </c>
      <c r="C6" s="2" t="s">
        <v>53</v>
      </c>
      <c r="D6" s="2" t="s">
        <v>1</v>
      </c>
      <c r="E6" s="2" t="s">
        <v>44</v>
      </c>
      <c r="F6" s="2" t="s">
        <v>45</v>
      </c>
      <c r="G6" s="2" t="s">
        <v>47</v>
      </c>
      <c r="H6" s="2" t="s">
        <v>51</v>
      </c>
      <c r="I6" s="2" t="s">
        <v>49</v>
      </c>
      <c r="J6" s="2" t="s">
        <v>50</v>
      </c>
      <c r="K6" s="2" t="s">
        <v>48</v>
      </c>
      <c r="L6" s="2" t="s">
        <v>52</v>
      </c>
      <c r="M6" s="2" t="s">
        <v>71</v>
      </c>
      <c r="N6" s="2" t="s">
        <v>73</v>
      </c>
      <c r="O6" s="2" t="s">
        <v>72</v>
      </c>
      <c r="P6" s="41"/>
      <c r="Q6" s="2" t="s">
        <v>76</v>
      </c>
      <c r="R6" s="2" t="s">
        <v>77</v>
      </c>
      <c r="S6" s="2" t="s">
        <v>51</v>
      </c>
      <c r="T6" s="2" t="s">
        <v>82</v>
      </c>
      <c r="U6" s="2" t="s">
        <v>78</v>
      </c>
      <c r="V6" s="2" t="s">
        <v>79</v>
      </c>
      <c r="W6" s="2" t="s">
        <v>52</v>
      </c>
      <c r="X6" s="2" t="s">
        <v>83</v>
      </c>
      <c r="Z6" s="2" t="s">
        <v>0</v>
      </c>
      <c r="AA6" s="2" t="s">
        <v>67</v>
      </c>
      <c r="AB6" s="2" t="s">
        <v>69</v>
      </c>
      <c r="AC6" s="2" t="s">
        <v>68</v>
      </c>
      <c r="AD6" s="2" t="s">
        <v>70</v>
      </c>
      <c r="AE6" s="2" t="s">
        <v>74</v>
      </c>
      <c r="AF6" s="2" t="s">
        <v>75</v>
      </c>
      <c r="AI6" s="2" t="s">
        <v>0</v>
      </c>
      <c r="AJ6" s="2" t="s">
        <v>67</v>
      </c>
      <c r="AK6" s="2" t="s">
        <v>69</v>
      </c>
      <c r="AL6" s="2" t="s">
        <v>68</v>
      </c>
      <c r="AM6" s="2" t="s">
        <v>70</v>
      </c>
      <c r="AN6" s="2" t="s">
        <v>97</v>
      </c>
      <c r="AO6" s="2" t="s">
        <v>96</v>
      </c>
    </row>
    <row r="7" spans="2:41">
      <c r="B7" s="23">
        <v>2942</v>
      </c>
      <c r="C7" s="24">
        <f>B7*1.02*10^(-4)</f>
        <v>0.30008400000000002</v>
      </c>
      <c r="D7" s="23">
        <v>1</v>
      </c>
      <c r="E7" s="24">
        <v>28.83</v>
      </c>
      <c r="F7" s="24">
        <v>28.84</v>
      </c>
      <c r="G7" s="27">
        <f>0.5*(AVERAGE(E7:F7)^2)</f>
        <v>415.7286125</v>
      </c>
      <c r="H7" s="27">
        <f>1.854*C7/((0.001*(E7+F7)/2)^2)</f>
        <v>669.13332312434954</v>
      </c>
      <c r="I7" s="24">
        <v>29.09</v>
      </c>
      <c r="J7" s="24">
        <v>30.03</v>
      </c>
      <c r="K7" s="27">
        <f>0.5*(AVERAGE(I7:J7)^2)</f>
        <v>436.89680000000004</v>
      </c>
      <c r="L7" s="27">
        <f>1.854*C7/(0.001*(I7+J7)/2)^2</f>
        <v>636.71299034463061</v>
      </c>
      <c r="M7" s="27">
        <v>408.59519999999998</v>
      </c>
      <c r="N7" s="27">
        <f t="shared" ref="N7:N10" si="0">SQRT(2*M7)</f>
        <v>28.586542288286633</v>
      </c>
      <c r="O7" s="27">
        <f>1.854*C7/(0.001*N7)^2</f>
        <v>680.81531060570478</v>
      </c>
      <c r="P7" s="43"/>
      <c r="Q7" s="24">
        <v>34.08</v>
      </c>
      <c r="R7" s="24">
        <v>33.39</v>
      </c>
      <c r="S7" s="27">
        <f>1.854*C7/(0.001*1/2*(R7+Q7))^2</f>
        <v>488.86747155645094</v>
      </c>
      <c r="T7" s="27">
        <f>B7/(1/2*AVERAGE(Q7:R7)^2)</f>
        <v>5.1702463307364139</v>
      </c>
      <c r="U7" s="24">
        <v>33.79</v>
      </c>
      <c r="V7" s="24">
        <v>34.049999999999997</v>
      </c>
      <c r="W7" s="27">
        <f>1.854*C7/(0.001*1/2*(V7+U7))^2</f>
        <v>483.54943791162327</v>
      </c>
      <c r="X7" s="27">
        <f>B7/(1/2*AVERAGE(U7:V7)^2)</f>
        <v>5.1140029814880732</v>
      </c>
      <c r="Z7" s="2">
        <v>2942</v>
      </c>
      <c r="AA7" s="3">
        <f>H11</f>
        <v>685.35986772799095</v>
      </c>
      <c r="AB7" s="3">
        <f>H12</f>
        <v>14.124539009811716</v>
      </c>
      <c r="AC7" s="3">
        <f>L11</f>
        <v>679.16550811036836</v>
      </c>
      <c r="AD7" s="3">
        <f>L12</f>
        <v>31.368612913237573</v>
      </c>
      <c r="AE7" s="3">
        <f>O11</f>
        <v>702.25720584545434</v>
      </c>
      <c r="AF7" s="3">
        <f>O12</f>
        <v>16.497545564345664</v>
      </c>
      <c r="AI7" s="2">
        <v>2942</v>
      </c>
      <c r="AJ7" s="3">
        <f>T11</f>
        <v>5.2594431259957606</v>
      </c>
      <c r="AK7" s="3">
        <f>T12</f>
        <v>0.14794041652215228</v>
      </c>
      <c r="AL7" s="3">
        <f>X11</f>
        <v>5.1581772402093282</v>
      </c>
      <c r="AM7" s="3">
        <f>X12</f>
        <v>7.1116871388159725E-2</v>
      </c>
      <c r="AN7" s="1">
        <f>Diagonals!J22</f>
        <v>5.4784266003495246</v>
      </c>
      <c r="AO7" s="1">
        <f>Diagonals!J23</f>
        <v>0.16307976020196088</v>
      </c>
    </row>
    <row r="8" spans="2:41">
      <c r="B8" s="23">
        <v>2942</v>
      </c>
      <c r="C8" s="24">
        <f t="shared" ref="C8:C22" si="1">B8*1.02*10^(-4)</f>
        <v>0.30008400000000002</v>
      </c>
      <c r="D8" s="23">
        <v>2</v>
      </c>
      <c r="E8" s="24">
        <v>28.83</v>
      </c>
      <c r="F8" s="24">
        <v>28.22</v>
      </c>
      <c r="G8" s="27">
        <f t="shared" ref="G8:G22" si="2">0.5*(AVERAGE(E8:F8)^2)</f>
        <v>406.83781249999998</v>
      </c>
      <c r="H8" s="27">
        <f t="shared" ref="H8:H22" si="3">1.854*C8/((0.001*(E8+F8)/2)^2)</f>
        <v>683.75617863691093</v>
      </c>
      <c r="I8" s="24">
        <v>28.27</v>
      </c>
      <c r="J8" s="24">
        <v>28.96</v>
      </c>
      <c r="K8" s="27">
        <f t="shared" ref="K8:K22" si="4">0.5*(AVERAGE(I8:J8)^2)</f>
        <v>409.40911250000005</v>
      </c>
      <c r="L8" s="27">
        <f t="shared" ref="L8:L22" si="5">1.854*C8/(0.001*(I8+J8)/2)^2</f>
        <v>679.46183782120875</v>
      </c>
      <c r="M8" s="27">
        <v>388.74560000000002</v>
      </c>
      <c r="N8" s="27">
        <f t="shared" si="0"/>
        <v>27.883529188393638</v>
      </c>
      <c r="O8" s="27">
        <f>1.854*C8/(0.001*N8)^2</f>
        <v>715.57817760509715</v>
      </c>
      <c r="P8" s="43"/>
      <c r="Q8" s="24">
        <v>33.46</v>
      </c>
      <c r="R8" s="24">
        <v>33.72</v>
      </c>
      <c r="S8" s="27">
        <f t="shared" ref="S8:S10" si="6">1.854*C8/(0.001*1/2*(R8+Q8))^2</f>
        <v>493.0972293335364</v>
      </c>
      <c r="T8" s="27">
        <f t="shared" ref="T8:T10" si="7">B8/(1/2*AVERAGE(Q8:R8)^2)</f>
        <v>5.2149801101332178</v>
      </c>
      <c r="U8" s="24">
        <v>32.78</v>
      </c>
      <c r="V8" s="24">
        <v>34.299999999999997</v>
      </c>
      <c r="W8" s="27">
        <f t="shared" ref="W8:W10" si="8">1.854*C8/(0.001*1/2*(V8+U8))^2</f>
        <v>494.56850176490741</v>
      </c>
      <c r="X8" s="27">
        <f t="shared" ref="X8:X10" si="9">B8/(1/2*AVERAGE(U8:V8)^2)</f>
        <v>5.2305402390687581</v>
      </c>
      <c r="Z8" s="2">
        <v>490.3</v>
      </c>
      <c r="AA8" s="3">
        <f>H17</f>
        <v>701.38468653133737</v>
      </c>
      <c r="AB8" s="3">
        <f>H18</f>
        <v>13.138088324258353</v>
      </c>
      <c r="AC8" s="3">
        <f>L17</f>
        <v>658.83120095259972</v>
      </c>
      <c r="AD8" s="3">
        <f>L18</f>
        <v>23.774465543948377</v>
      </c>
      <c r="AE8" s="3">
        <f>O17</f>
        <v>730.75959458237912</v>
      </c>
      <c r="AF8" s="3">
        <f>O18</f>
        <v>15.685866640230246</v>
      </c>
      <c r="AI8" s="2">
        <v>490.3</v>
      </c>
      <c r="AJ8" s="3">
        <f>T17</f>
        <v>5.4799878820127246</v>
      </c>
      <c r="AK8" s="3">
        <f>T18</f>
        <v>6.7701093312932406E-2</v>
      </c>
      <c r="AL8" s="3">
        <f>X17</f>
        <v>5.1846620526755975</v>
      </c>
      <c r="AM8" s="3">
        <f>X18</f>
        <v>0.12771083964972155</v>
      </c>
      <c r="AN8" s="1">
        <f>Diagonals!J16</f>
        <v>5.5254616760078736</v>
      </c>
      <c r="AO8" s="1">
        <f>Diagonals!J17</f>
        <v>0.21958017064389102</v>
      </c>
    </row>
    <row r="9" spans="2:41">
      <c r="B9" s="23">
        <v>2942</v>
      </c>
      <c r="C9" s="24">
        <f t="shared" si="1"/>
        <v>0.30008400000000002</v>
      </c>
      <c r="D9" s="23">
        <v>3</v>
      </c>
      <c r="E9" s="24">
        <v>28.17</v>
      </c>
      <c r="F9" s="24">
        <v>28.07</v>
      </c>
      <c r="G9" s="27">
        <f t="shared" si="2"/>
        <v>395.36720000000003</v>
      </c>
      <c r="H9" s="27">
        <f t="shared" si="3"/>
        <v>703.59369214239325</v>
      </c>
      <c r="I9" s="24">
        <v>27.88</v>
      </c>
      <c r="J9" s="24">
        <v>28.96</v>
      </c>
      <c r="K9" s="27">
        <f t="shared" si="4"/>
        <v>403.84820000000008</v>
      </c>
      <c r="L9" s="27">
        <f t="shared" si="5"/>
        <v>688.81789741789123</v>
      </c>
      <c r="M9" s="27">
        <v>398.67039999999997</v>
      </c>
      <c r="N9" s="27">
        <f t="shared" si="0"/>
        <v>28.237223659559731</v>
      </c>
      <c r="O9" s="27">
        <f t="shared" ref="O9:O10" si="10">1.854*C9/(0.001*N9)^2</f>
        <v>697.76403766118597</v>
      </c>
      <c r="P9" s="43"/>
      <c r="Q9" s="24">
        <v>33.31</v>
      </c>
      <c r="R9" s="24">
        <v>32.229999999999997</v>
      </c>
      <c r="S9" s="27">
        <f t="shared" si="6"/>
        <v>518.08341191960449</v>
      </c>
      <c r="T9" s="27">
        <f t="shared" si="7"/>
        <v>5.4792331569220165</v>
      </c>
      <c r="U9" s="24">
        <v>33.130000000000003</v>
      </c>
      <c r="V9" s="24">
        <v>34.11</v>
      </c>
      <c r="W9" s="27">
        <f t="shared" si="8"/>
        <v>492.21761500707237</v>
      </c>
      <c r="X9" s="27">
        <f t="shared" si="9"/>
        <v>5.2056773378923404</v>
      </c>
      <c r="Z9" s="2">
        <v>245.2</v>
      </c>
      <c r="AA9" s="3">
        <f>H23</f>
        <v>646.22411757000259</v>
      </c>
      <c r="AB9" s="3">
        <f>H24</f>
        <v>67.306145322027604</v>
      </c>
      <c r="AC9" s="3">
        <f>L23</f>
        <v>635.48491212339718</v>
      </c>
      <c r="AD9" s="3">
        <f>L24</f>
        <v>45.427421080392136</v>
      </c>
      <c r="AE9" s="3">
        <f>O23</f>
        <v>658.16840260803519</v>
      </c>
      <c r="AF9" s="3">
        <f>O24</f>
        <v>58.306589924730034</v>
      </c>
      <c r="AI9" s="2">
        <v>245.2</v>
      </c>
      <c r="AJ9" s="3">
        <f>T23</f>
        <v>5.4297443371266478</v>
      </c>
      <c r="AK9" s="3">
        <f>T24</f>
        <v>0.29181481782960378</v>
      </c>
      <c r="AL9" s="3">
        <f>X23</f>
        <v>5.2879988045469499</v>
      </c>
      <c r="AM9" s="3">
        <f>X24</f>
        <v>0.109401357751937</v>
      </c>
      <c r="AN9" s="1">
        <f>Diagonals!J10</f>
        <v>5.5162328988625013</v>
      </c>
      <c r="AO9" s="1">
        <f>Diagonals!J11</f>
        <v>0.16223868817939138</v>
      </c>
    </row>
    <row r="10" spans="2:41">
      <c r="B10" s="23">
        <v>2942</v>
      </c>
      <c r="C10" s="24">
        <f t="shared" si="1"/>
        <v>0.30008400000000002</v>
      </c>
      <c r="D10" s="23">
        <v>4</v>
      </c>
      <c r="E10" s="24">
        <v>28.41</v>
      </c>
      <c r="F10" s="24">
        <v>28.59</v>
      </c>
      <c r="G10" s="27">
        <f t="shared" si="2"/>
        <v>406.125</v>
      </c>
      <c r="H10" s="27">
        <f t="shared" si="3"/>
        <v>684.95627700831039</v>
      </c>
      <c r="I10" s="24">
        <v>27.7</v>
      </c>
      <c r="J10" s="24">
        <v>28.22</v>
      </c>
      <c r="K10" s="27">
        <f t="shared" si="4"/>
        <v>390.88080000000002</v>
      </c>
      <c r="L10" s="27">
        <f t="shared" si="5"/>
        <v>711.66930685774275</v>
      </c>
      <c r="M10" s="27">
        <v>389.13</v>
      </c>
      <c r="N10" s="27">
        <f t="shared" si="0"/>
        <v>27.897311698441481</v>
      </c>
      <c r="O10" s="27">
        <f t="shared" si="10"/>
        <v>714.87129750982979</v>
      </c>
      <c r="P10" s="43"/>
      <c r="Q10" s="24">
        <v>33.9</v>
      </c>
      <c r="R10" s="24">
        <v>33.549999999999997</v>
      </c>
      <c r="S10" s="27">
        <f t="shared" si="6"/>
        <v>489.15742853202096</v>
      </c>
      <c r="T10" s="27">
        <f t="shared" si="7"/>
        <v>5.1733129061913932</v>
      </c>
      <c r="U10" s="24">
        <v>34.32</v>
      </c>
      <c r="V10" s="24">
        <v>33.729999999999997</v>
      </c>
      <c r="W10" s="27">
        <f t="shared" si="8"/>
        <v>480.56960839940825</v>
      </c>
      <c r="X10" s="27">
        <f t="shared" si="9"/>
        <v>5.0824884023881394</v>
      </c>
    </row>
    <row r="11" spans="2:41">
      <c r="B11" s="23"/>
      <c r="C11" s="24"/>
      <c r="D11" s="23"/>
      <c r="E11" s="24"/>
      <c r="F11" s="24"/>
      <c r="G11" s="27"/>
      <c r="H11" s="26">
        <f>AVERAGE(H7:H10)</f>
        <v>685.35986772799095</v>
      </c>
      <c r="I11" s="24"/>
      <c r="J11" s="24"/>
      <c r="K11" s="27"/>
      <c r="L11" s="26">
        <f>AVERAGE(L7:L10)</f>
        <v>679.16550811036836</v>
      </c>
      <c r="M11" s="26"/>
      <c r="N11" s="26"/>
      <c r="O11" s="26">
        <f>AVERAGE(O7:O10)</f>
        <v>702.25720584545434</v>
      </c>
      <c r="P11" s="21"/>
      <c r="Q11" s="57"/>
      <c r="R11" s="57"/>
      <c r="S11" s="26">
        <f>AVERAGE(S7:S10)</f>
        <v>497.30138533540321</v>
      </c>
      <c r="T11" s="26">
        <f>AVERAGE(T7:T10)</f>
        <v>5.2594431259957606</v>
      </c>
      <c r="U11" s="57"/>
      <c r="V11" s="23"/>
      <c r="W11" s="26">
        <f>AVERAGE(W7:W10)</f>
        <v>487.72629077075283</v>
      </c>
      <c r="X11" s="26">
        <f>AVERAGE(X7:X10)</f>
        <v>5.1581772402093282</v>
      </c>
    </row>
    <row r="12" spans="2:41">
      <c r="B12" s="23"/>
      <c r="C12" s="24"/>
      <c r="D12" s="23"/>
      <c r="E12" s="24"/>
      <c r="F12" s="24"/>
      <c r="G12" s="27"/>
      <c r="H12" s="26">
        <f>STDEV(H7:H10)</f>
        <v>14.124539009811716</v>
      </c>
      <c r="I12" s="24"/>
      <c r="J12" s="24"/>
      <c r="K12" s="27"/>
      <c r="L12" s="26">
        <f>STDEV(L7:L10)</f>
        <v>31.368612913237573</v>
      </c>
      <c r="M12" s="26"/>
      <c r="N12" s="26"/>
      <c r="O12" s="26">
        <f>STDEV(O7:O10)</f>
        <v>16.497545564345664</v>
      </c>
      <c r="P12" s="21"/>
      <c r="Q12" s="57"/>
      <c r="R12" s="57"/>
      <c r="S12" s="26">
        <f>STDEV(S7:S10)</f>
        <v>13.988358143835638</v>
      </c>
      <c r="T12" s="26">
        <f>STDEV(T7:T10)</f>
        <v>0.14794041652215228</v>
      </c>
      <c r="U12" s="57"/>
      <c r="V12" s="23"/>
      <c r="W12" s="26">
        <f>STDEV(W7:W10)</f>
        <v>6.7243846572360333</v>
      </c>
      <c r="X12" s="26">
        <f>STDEV(X7:X10)</f>
        <v>7.1116871388159725E-2</v>
      </c>
    </row>
    <row r="13" spans="2:41">
      <c r="B13" s="28">
        <v>490.3</v>
      </c>
      <c r="C13" s="29">
        <f t="shared" si="1"/>
        <v>5.0010600000000002E-2</v>
      </c>
      <c r="D13" s="28">
        <v>1</v>
      </c>
      <c r="E13" s="29">
        <v>11.61</v>
      </c>
      <c r="F13" s="29">
        <v>11.65</v>
      </c>
      <c r="G13" s="34">
        <f t="shared" si="2"/>
        <v>67.628449999999987</v>
      </c>
      <c r="H13" s="34">
        <f t="shared" si="3"/>
        <v>685.50774415205433</v>
      </c>
      <c r="I13" s="29">
        <v>11.76</v>
      </c>
      <c r="J13" s="29">
        <v>11.86</v>
      </c>
      <c r="K13" s="34">
        <f t="shared" si="4"/>
        <v>69.738049999999987</v>
      </c>
      <c r="L13" s="34">
        <f t="shared" si="5"/>
        <v>664.7708991002761</v>
      </c>
      <c r="M13" s="34">
        <v>62.484499999999997</v>
      </c>
      <c r="N13" s="34">
        <f t="shared" ref="N13:N16" si="11">SQRT(2*M13)</f>
        <v>11.178953439387785</v>
      </c>
      <c r="O13" s="34">
        <f t="shared" ref="O13:O16" si="12">1.854*C13/(0.001*N13)^2</f>
        <v>741.94122062271458</v>
      </c>
      <c r="P13" s="43"/>
      <c r="Q13" s="29">
        <v>13.53</v>
      </c>
      <c r="R13" s="29">
        <v>13.18</v>
      </c>
      <c r="S13" s="34">
        <f>1.854*C13/(0.001*1/2*(R13+Q13))^2</f>
        <v>519.85713630924431</v>
      </c>
      <c r="T13" s="34">
        <f>B13/(1/2*AVERAGE(Q13:R13)^2)</f>
        <v>5.4979920078393762</v>
      </c>
      <c r="U13" s="29">
        <v>13.83</v>
      </c>
      <c r="V13" s="29">
        <v>14.15</v>
      </c>
      <c r="W13" s="34">
        <f>1.854*C13/(0.001*1/2*(V13+U13))^2</f>
        <v>473.73597499694716</v>
      </c>
      <c r="X13" s="34">
        <f>B13/(1/2*AVERAGE(U13:V13)^2)</f>
        <v>5.0102161198568771</v>
      </c>
    </row>
    <row r="14" spans="2:41">
      <c r="B14" s="28">
        <v>490.3</v>
      </c>
      <c r="C14" s="29">
        <f t="shared" si="1"/>
        <v>5.0010600000000002E-2</v>
      </c>
      <c r="D14" s="28">
        <v>2</v>
      </c>
      <c r="E14" s="29">
        <v>11.4</v>
      </c>
      <c r="F14" s="29">
        <v>11.34</v>
      </c>
      <c r="G14" s="34">
        <f t="shared" si="2"/>
        <v>64.638450000000006</v>
      </c>
      <c r="H14" s="34">
        <f t="shared" si="3"/>
        <v>717.21747968894658</v>
      </c>
      <c r="I14" s="29">
        <v>12</v>
      </c>
      <c r="J14" s="29">
        <v>12.3</v>
      </c>
      <c r="K14" s="34">
        <f t="shared" si="4"/>
        <v>73.811250000000001</v>
      </c>
      <c r="L14" s="34">
        <f t="shared" si="5"/>
        <v>628.08618198445345</v>
      </c>
      <c r="M14" s="34">
        <v>65.524799999999999</v>
      </c>
      <c r="N14" s="34">
        <f t="shared" si="11"/>
        <v>11.447689723258575</v>
      </c>
      <c r="O14" s="34">
        <f t="shared" si="12"/>
        <v>707.51572229140731</v>
      </c>
      <c r="P14" s="43"/>
      <c r="Q14" s="29">
        <v>13.34</v>
      </c>
      <c r="R14" s="29">
        <v>13.66</v>
      </c>
      <c r="S14" s="34">
        <f t="shared" ref="S14:S16" si="13">1.854*C14/(0.001*1/2*(R14+Q14))^2</f>
        <v>508.7498074074075</v>
      </c>
      <c r="T14" s="34">
        <f t="shared" ref="T14:T16" si="14">B14/(1/2*AVERAGE(Q14:R14)^2)</f>
        <v>5.3805212620027438</v>
      </c>
      <c r="U14" s="29">
        <v>13.23</v>
      </c>
      <c r="V14" s="29">
        <v>14.21</v>
      </c>
      <c r="W14" s="34">
        <f t="shared" ref="W14:W16" si="15">1.854*C14/(0.001*1/2*(V14+U14))^2</f>
        <v>492.5650260520701</v>
      </c>
      <c r="X14" s="34">
        <f t="shared" ref="X14:X16" si="16">B14/(1/2*AVERAGE(U14:V14)^2)</f>
        <v>5.2093515456994961</v>
      </c>
    </row>
    <row r="15" spans="2:41">
      <c r="B15" s="28">
        <v>490.3</v>
      </c>
      <c r="C15" s="29">
        <f t="shared" si="1"/>
        <v>5.0010600000000002E-2</v>
      </c>
      <c r="D15" s="28">
        <v>3</v>
      </c>
      <c r="E15" s="29">
        <v>11.76</v>
      </c>
      <c r="F15" s="29">
        <v>11.19</v>
      </c>
      <c r="G15" s="34">
        <f t="shared" si="2"/>
        <v>65.837812499999998</v>
      </c>
      <c r="H15" s="34">
        <f t="shared" si="3"/>
        <v>704.15198257080624</v>
      </c>
      <c r="I15" s="29">
        <v>11.39</v>
      </c>
      <c r="J15" s="29">
        <v>11.87</v>
      </c>
      <c r="K15" s="34">
        <f t="shared" si="4"/>
        <v>67.628449999999987</v>
      </c>
      <c r="L15" s="34">
        <f t="shared" si="5"/>
        <v>685.50774415205433</v>
      </c>
      <c r="M15" s="34">
        <v>62.938800000000001</v>
      </c>
      <c r="N15" s="34">
        <f t="shared" si="11"/>
        <v>11.219518706254739</v>
      </c>
      <c r="O15" s="34">
        <f t="shared" si="12"/>
        <v>736.5857976319852</v>
      </c>
      <c r="P15" s="43"/>
      <c r="Q15" s="29">
        <v>13.86</v>
      </c>
      <c r="R15" s="29">
        <v>12.77</v>
      </c>
      <c r="S15" s="34">
        <f t="shared" si="13"/>
        <v>522.98526546100027</v>
      </c>
      <c r="T15" s="34">
        <f t="shared" si="14"/>
        <v>5.5310749990587418</v>
      </c>
      <c r="U15" s="29">
        <v>13</v>
      </c>
      <c r="V15" s="29">
        <v>14.16</v>
      </c>
      <c r="W15" s="34">
        <f t="shared" si="15"/>
        <v>502.7733563826211</v>
      </c>
      <c r="X15" s="34">
        <f t="shared" si="16"/>
        <v>5.3173145121583545</v>
      </c>
    </row>
    <row r="16" spans="2:41">
      <c r="B16" s="28">
        <v>490.3</v>
      </c>
      <c r="C16" s="29">
        <f t="shared" si="1"/>
        <v>5.0010600000000002E-2</v>
      </c>
      <c r="D16" s="28">
        <v>4</v>
      </c>
      <c r="E16" s="29">
        <v>11.67</v>
      </c>
      <c r="F16" s="29">
        <v>11.37</v>
      </c>
      <c r="G16" s="34">
        <f t="shared" si="2"/>
        <v>66.355199999999996</v>
      </c>
      <c r="H16" s="34">
        <f t="shared" si="3"/>
        <v>698.66153971354186</v>
      </c>
      <c r="I16" s="29">
        <v>11.74</v>
      </c>
      <c r="J16" s="29">
        <v>12.02</v>
      </c>
      <c r="K16" s="34">
        <f t="shared" si="4"/>
        <v>70.567199999999985</v>
      </c>
      <c r="L16" s="34">
        <f t="shared" si="5"/>
        <v>656.95997857361488</v>
      </c>
      <c r="M16" s="34">
        <v>62.903799999999997</v>
      </c>
      <c r="N16" s="34">
        <f t="shared" si="11"/>
        <v>11.216398709033127</v>
      </c>
      <c r="O16" s="34">
        <f t="shared" si="12"/>
        <v>736.99563778340894</v>
      </c>
      <c r="P16" s="43"/>
      <c r="Q16" s="29">
        <v>13.36</v>
      </c>
      <c r="R16" s="29">
        <v>13.32</v>
      </c>
      <c r="S16" s="34">
        <f t="shared" si="13"/>
        <v>521.02688760567253</v>
      </c>
      <c r="T16" s="34">
        <f t="shared" si="14"/>
        <v>5.5103632591500356</v>
      </c>
      <c r="U16" s="29">
        <v>13.69</v>
      </c>
      <c r="V16" s="29">
        <v>13.77</v>
      </c>
      <c r="W16" s="34">
        <f t="shared" si="15"/>
        <v>491.84778548311539</v>
      </c>
      <c r="X16" s="34">
        <f t="shared" si="16"/>
        <v>5.2017660329876634</v>
      </c>
    </row>
    <row r="17" spans="2:24">
      <c r="B17" s="28"/>
      <c r="C17" s="29"/>
      <c r="D17" s="28"/>
      <c r="E17" s="29"/>
      <c r="F17" s="29"/>
      <c r="G17" s="34"/>
      <c r="H17" s="33">
        <f>AVERAGE(H13:H16)</f>
        <v>701.38468653133737</v>
      </c>
      <c r="I17" s="29"/>
      <c r="J17" s="29"/>
      <c r="K17" s="34"/>
      <c r="L17" s="33">
        <f>AVERAGE(L13:L16)</f>
        <v>658.83120095259972</v>
      </c>
      <c r="M17" s="33"/>
      <c r="N17" s="33"/>
      <c r="O17" s="33">
        <f>AVERAGE(O13:O16)</f>
        <v>730.75959458237912</v>
      </c>
      <c r="P17" s="21"/>
      <c r="Q17" s="58"/>
      <c r="R17" s="58"/>
      <c r="S17" s="33">
        <f>AVERAGE(S13:S16)</f>
        <v>518.15477419583112</v>
      </c>
      <c r="T17" s="33">
        <f>AVERAGE(T13:T16)</f>
        <v>5.4799878820127246</v>
      </c>
      <c r="U17" s="58"/>
      <c r="V17" s="58"/>
      <c r="W17" s="33">
        <f>AVERAGE(W13:W16)</f>
        <v>490.23053572868844</v>
      </c>
      <c r="X17" s="33">
        <f>AVERAGE(X13:X16)</f>
        <v>5.1846620526755975</v>
      </c>
    </row>
    <row r="18" spans="2:24">
      <c r="B18" s="28"/>
      <c r="C18" s="29"/>
      <c r="D18" s="28"/>
      <c r="E18" s="29"/>
      <c r="F18" s="29"/>
      <c r="G18" s="34"/>
      <c r="H18" s="33">
        <f>STDEV(H13:H16)</f>
        <v>13.138088324258353</v>
      </c>
      <c r="I18" s="29"/>
      <c r="J18" s="29"/>
      <c r="K18" s="34"/>
      <c r="L18" s="33">
        <f>STDEV(L13:L16)</f>
        <v>23.774465543948377</v>
      </c>
      <c r="M18" s="33"/>
      <c r="N18" s="33"/>
      <c r="O18" s="33">
        <f>STDEV(O13:O16)</f>
        <v>15.685866640230246</v>
      </c>
      <c r="P18" s="21"/>
      <c r="Q18" s="58"/>
      <c r="R18" s="58"/>
      <c r="S18" s="33">
        <f>STDEV(S13:S16)</f>
        <v>6.4014091771109838</v>
      </c>
      <c r="T18" s="33">
        <f>STDEV(T13:T16)</f>
        <v>6.7701093312932406E-2</v>
      </c>
      <c r="U18" s="58"/>
      <c r="V18" s="58"/>
      <c r="W18" s="33">
        <f>STDEV(W13:W16)</f>
        <v>12.075570732239775</v>
      </c>
      <c r="X18" s="33">
        <f>STDEV(X13:X16)</f>
        <v>0.12771083964972155</v>
      </c>
    </row>
    <row r="19" spans="2:24">
      <c r="B19" s="46">
        <v>245.2</v>
      </c>
      <c r="C19" s="47">
        <f t="shared" si="1"/>
        <v>2.5010399999999999E-2</v>
      </c>
      <c r="D19" s="46">
        <v>1</v>
      </c>
      <c r="E19" s="47">
        <v>8.99</v>
      </c>
      <c r="F19" s="47">
        <v>8.19</v>
      </c>
      <c r="G19" s="48">
        <f t="shared" si="2"/>
        <v>36.89405</v>
      </c>
      <c r="H19" s="48">
        <f t="shared" si="3"/>
        <v>628.41137798642319</v>
      </c>
      <c r="I19" s="47">
        <v>8.6999999999999993</v>
      </c>
      <c r="J19" s="47">
        <v>8.82</v>
      </c>
      <c r="K19" s="48">
        <f t="shared" si="4"/>
        <v>38.3688</v>
      </c>
      <c r="L19" s="48">
        <f t="shared" si="5"/>
        <v>604.25764683805585</v>
      </c>
      <c r="M19" s="48">
        <v>33.0944</v>
      </c>
      <c r="N19" s="48">
        <f>SQRT(2*M19)</f>
        <v>8.1356499433050828</v>
      </c>
      <c r="O19" s="48">
        <f>1.854*C19/(0.001*N19)^2</f>
        <v>700.56084413072892</v>
      </c>
      <c r="P19" s="43"/>
      <c r="Q19" s="47">
        <v>9.44</v>
      </c>
      <c r="R19" s="47">
        <v>9.34</v>
      </c>
      <c r="S19" s="48">
        <f>1.854*C19/(0.001*1/2*(R19+Q19))^2</f>
        <v>525.89517092141386</v>
      </c>
      <c r="T19" s="48">
        <f>B19/(1/2*AVERAGE(Q19:R19)^2)</f>
        <v>5.5618500636822743</v>
      </c>
      <c r="U19" s="47">
        <v>9.7200000000000006</v>
      </c>
      <c r="V19" s="47">
        <v>9.4600000000000009</v>
      </c>
      <c r="W19" s="48">
        <f>1.854*C19/(0.001*1/2*(V19+U19))^2</f>
        <v>504.18875240436631</v>
      </c>
      <c r="X19" s="48">
        <f>B19/(1/2*AVERAGE(U19:V19)^2)</f>
        <v>5.332283694019992</v>
      </c>
    </row>
    <row r="20" spans="2:24">
      <c r="B20" s="46">
        <v>245.2</v>
      </c>
      <c r="C20" s="47">
        <f t="shared" si="1"/>
        <v>2.5010399999999999E-2</v>
      </c>
      <c r="D20" s="46">
        <v>2</v>
      </c>
      <c r="E20" s="47">
        <v>8.9600000000000009</v>
      </c>
      <c r="F20" s="47">
        <v>8.3699999999999992</v>
      </c>
      <c r="G20" s="48">
        <f t="shared" si="2"/>
        <v>37.54111249999999</v>
      </c>
      <c r="H20" s="48">
        <f t="shared" si="3"/>
        <v>617.58001444416459</v>
      </c>
      <c r="I20" s="47">
        <v>8.43</v>
      </c>
      <c r="J20" s="47">
        <v>8.8000000000000007</v>
      </c>
      <c r="K20" s="48">
        <f t="shared" si="4"/>
        <v>37.109112500000002</v>
      </c>
      <c r="L20" s="48">
        <f t="shared" si="5"/>
        <v>624.76947676935129</v>
      </c>
      <c r="M20" s="48">
        <v>34.037999999999997</v>
      </c>
      <c r="N20" s="48">
        <f t="shared" ref="N20:N22" si="17">SQRT(2*M20)</f>
        <v>8.2508181412512052</v>
      </c>
      <c r="O20" s="48">
        <f t="shared" ref="O20:O22" si="18">1.854*C20/(0.001*N20)^2</f>
        <v>681.13992596509797</v>
      </c>
      <c r="P20" s="43"/>
      <c r="Q20" s="47">
        <v>10.119999999999999</v>
      </c>
      <c r="R20" s="47">
        <v>9.4600000000000009</v>
      </c>
      <c r="S20" s="48">
        <f t="shared" ref="S20:S22" si="19">1.854*C20/(0.001*1/2*(R20+Q20))^2</f>
        <v>483.79901944929316</v>
      </c>
      <c r="T20" s="48">
        <f t="shared" ref="T20:T22" si="20">B20/(1/2*AVERAGE(Q20:R20)^2)</f>
        <v>5.116642547637257</v>
      </c>
      <c r="U20" s="47">
        <v>9.67</v>
      </c>
      <c r="V20" s="47">
        <v>9.89</v>
      </c>
      <c r="W20" s="48">
        <f t="shared" ref="W20:W22" si="21">1.854*C20/(0.001*1/2*(V20+U20))^2</f>
        <v>484.78888930708717</v>
      </c>
      <c r="X20" s="48">
        <f t="shared" ref="X20:X22" si="22">B20/(1/2*AVERAGE(U20:V20)^2)</f>
        <v>5.1271113787580331</v>
      </c>
    </row>
    <row r="21" spans="2:24">
      <c r="B21" s="46">
        <v>245.2</v>
      </c>
      <c r="C21" s="47">
        <f t="shared" si="1"/>
        <v>2.5010399999999999E-2</v>
      </c>
      <c r="D21" s="46">
        <v>3</v>
      </c>
      <c r="E21" s="47">
        <v>8.07</v>
      </c>
      <c r="F21" s="47">
        <v>7.71</v>
      </c>
      <c r="G21" s="48">
        <f t="shared" si="2"/>
        <v>31.126050000000003</v>
      </c>
      <c r="H21" s="48">
        <f t="shared" si="3"/>
        <v>744.86292992525523</v>
      </c>
      <c r="I21" s="47">
        <v>8.0399999999999991</v>
      </c>
      <c r="J21" s="47">
        <v>8.2100000000000009</v>
      </c>
      <c r="K21" s="48">
        <f t="shared" si="4"/>
        <v>33.0078125</v>
      </c>
      <c r="L21" s="48">
        <f t="shared" si="5"/>
        <v>702.39858518343192</v>
      </c>
      <c r="M21" s="48">
        <v>34.142800000000001</v>
      </c>
      <c r="N21" s="48">
        <f t="shared" si="17"/>
        <v>8.263510150051248</v>
      </c>
      <c r="O21" s="48">
        <f t="shared" si="18"/>
        <v>679.04919338777142</v>
      </c>
      <c r="P21" s="43"/>
      <c r="Q21" s="47">
        <v>9.65</v>
      </c>
      <c r="R21" s="47">
        <v>9.64</v>
      </c>
      <c r="S21" s="48">
        <f t="shared" si="19"/>
        <v>498.45493881954013</v>
      </c>
      <c r="T21" s="48">
        <f t="shared" si="20"/>
        <v>5.2716430697753669</v>
      </c>
      <c r="U21" s="47">
        <v>9.42</v>
      </c>
      <c r="V21" s="47">
        <v>9.69</v>
      </c>
      <c r="W21" s="48">
        <f t="shared" si="21"/>
        <v>507.88920789907564</v>
      </c>
      <c r="X21" s="48">
        <f t="shared" si="22"/>
        <v>5.3714195898542165</v>
      </c>
    </row>
    <row r="22" spans="2:24">
      <c r="B22" s="46">
        <v>245.2</v>
      </c>
      <c r="C22" s="47">
        <f t="shared" si="1"/>
        <v>2.5010399999999999E-2</v>
      </c>
      <c r="D22" s="46">
        <v>4</v>
      </c>
      <c r="E22" s="47">
        <v>9.1199999999999992</v>
      </c>
      <c r="F22" s="47">
        <v>8.5500000000000007</v>
      </c>
      <c r="G22" s="48">
        <f t="shared" si="2"/>
        <v>39.028612500000008</v>
      </c>
      <c r="H22" s="48">
        <f t="shared" si="3"/>
        <v>594.04214792416712</v>
      </c>
      <c r="I22" s="47">
        <v>8.6</v>
      </c>
      <c r="J22" s="47">
        <v>8.83</v>
      </c>
      <c r="K22" s="48">
        <f t="shared" si="4"/>
        <v>37.975612499999997</v>
      </c>
      <c r="L22" s="48">
        <f t="shared" si="5"/>
        <v>610.51393970274989</v>
      </c>
      <c r="M22" s="48">
        <v>40.537999999999997</v>
      </c>
      <c r="N22" s="48">
        <f t="shared" si="17"/>
        <v>9.004221232288776</v>
      </c>
      <c r="O22" s="48">
        <f t="shared" si="18"/>
        <v>571.923646948542</v>
      </c>
      <c r="P22" s="43"/>
      <c r="Q22" s="47">
        <v>9.7899999999999991</v>
      </c>
      <c r="R22" s="47">
        <v>8.65</v>
      </c>
      <c r="S22" s="48">
        <f t="shared" si="19"/>
        <v>545.46705502044517</v>
      </c>
      <c r="T22" s="48">
        <f t="shared" si="20"/>
        <v>5.7688416674116922</v>
      </c>
      <c r="U22" s="47">
        <v>9.2799999999999994</v>
      </c>
      <c r="V22" s="47">
        <v>9.92</v>
      </c>
      <c r="W22" s="48">
        <f t="shared" si="21"/>
        <v>503.13890625000005</v>
      </c>
      <c r="X22" s="48">
        <f t="shared" si="22"/>
        <v>5.3211805555555554</v>
      </c>
    </row>
    <row r="23" spans="2:24">
      <c r="B23" s="46"/>
      <c r="C23" s="46"/>
      <c r="D23" s="46"/>
      <c r="E23" s="46"/>
      <c r="F23" s="46"/>
      <c r="G23" s="46"/>
      <c r="H23" s="49">
        <f>AVERAGE(H19:H22)</f>
        <v>646.22411757000259</v>
      </c>
      <c r="I23" s="46"/>
      <c r="J23" s="46"/>
      <c r="K23" s="46"/>
      <c r="L23" s="49">
        <f>AVERAGE(L19:L22)</f>
        <v>635.48491212339718</v>
      </c>
      <c r="M23" s="49"/>
      <c r="N23" s="49"/>
      <c r="O23" s="49">
        <f>AVERAGE(O19:O22)</f>
        <v>658.16840260803519</v>
      </c>
      <c r="P23" s="21"/>
      <c r="Q23" s="59"/>
      <c r="R23" s="59"/>
      <c r="S23" s="49">
        <f>AVERAGE(S19:S22)</f>
        <v>513.40404605267304</v>
      </c>
      <c r="T23" s="49">
        <f>AVERAGE(T19:T22)</f>
        <v>5.4297443371266478</v>
      </c>
      <c r="U23" s="59"/>
      <c r="V23" s="59"/>
      <c r="W23" s="49">
        <f>AVERAGE(W19:W22)</f>
        <v>500.00143896513231</v>
      </c>
      <c r="X23" s="49">
        <f>AVERAGE(X19:X22)</f>
        <v>5.2879988045469499</v>
      </c>
    </row>
    <row r="24" spans="2:24">
      <c r="B24" s="46"/>
      <c r="C24" s="46"/>
      <c r="D24" s="46"/>
      <c r="E24" s="46"/>
      <c r="F24" s="46"/>
      <c r="G24" s="46"/>
      <c r="H24" s="49">
        <f>STDEV(H19:H22)</f>
        <v>67.306145322027604</v>
      </c>
      <c r="I24" s="46"/>
      <c r="J24" s="46"/>
      <c r="K24" s="46"/>
      <c r="L24" s="49">
        <f>STDEV(L19:L22)</f>
        <v>45.427421080392136</v>
      </c>
      <c r="M24" s="49"/>
      <c r="N24" s="49"/>
      <c r="O24" s="49">
        <f>STDEV(O19:O22)</f>
        <v>58.306589924730034</v>
      </c>
      <c r="P24" s="21"/>
      <c r="Q24" s="59"/>
      <c r="R24" s="59"/>
      <c r="S24" s="49">
        <f>STDEV(S19:S22)</f>
        <v>27.592258285060378</v>
      </c>
      <c r="T24" s="49">
        <f>STDEV(T19:T22)</f>
        <v>0.29181481782960378</v>
      </c>
      <c r="U24" s="59"/>
      <c r="V24" s="59"/>
      <c r="W24" s="49">
        <f>STDEV(W19:W22)</f>
        <v>10.344335980876615</v>
      </c>
      <c r="X24" s="49">
        <f>STDEV(X19:X22)</f>
        <v>0.109401357751937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3"/>
  <sheetViews>
    <sheetView tabSelected="1" topLeftCell="C8" zoomScale="150" zoomScaleNormal="150" zoomScalePageLayoutView="150" workbookViewId="0">
      <selection activeCell="M22" sqref="M22"/>
    </sheetView>
  </sheetViews>
  <sheetFormatPr baseColWidth="10" defaultRowHeight="15" x14ac:dyDescent="0"/>
  <cols>
    <col min="9" max="9" width="12.6640625" bestFit="1" customWidth="1"/>
  </cols>
  <sheetData>
    <row r="4" spans="2:14">
      <c r="B4" t="s">
        <v>89</v>
      </c>
      <c r="G4" t="s">
        <v>97</v>
      </c>
      <c r="L4" t="s">
        <v>103</v>
      </c>
    </row>
    <row r="5" spans="2:14">
      <c r="B5" t="s">
        <v>90</v>
      </c>
      <c r="G5" s="2" t="s">
        <v>0</v>
      </c>
      <c r="H5" s="2" t="s">
        <v>1</v>
      </c>
      <c r="I5" s="2" t="s">
        <v>88</v>
      </c>
      <c r="J5" s="2" t="s">
        <v>19</v>
      </c>
    </row>
    <row r="6" spans="2:14">
      <c r="B6" t="s">
        <v>91</v>
      </c>
      <c r="C6" s="50">
        <v>550.92100000000005</v>
      </c>
      <c r="G6" s="2">
        <v>245.2</v>
      </c>
      <c r="H6">
        <v>1</v>
      </c>
      <c r="I6">
        <v>45.0364</v>
      </c>
      <c r="L6">
        <v>44.172699999999999</v>
      </c>
    </row>
    <row r="7" spans="2:14">
      <c r="B7" t="s">
        <v>92</v>
      </c>
      <c r="C7" s="50">
        <v>551.08040000000005</v>
      </c>
      <c r="G7" s="2">
        <v>245.2</v>
      </c>
      <c r="H7">
        <v>2</v>
      </c>
      <c r="I7">
        <v>42.942700000000002</v>
      </c>
    </row>
    <row r="8" spans="2:14">
      <c r="B8" t="s">
        <v>93</v>
      </c>
      <c r="C8" s="50">
        <v>550.83600000000001</v>
      </c>
      <c r="G8" s="2">
        <v>245.2</v>
      </c>
      <c r="H8">
        <v>3</v>
      </c>
      <c r="I8">
        <v>45.9328</v>
      </c>
      <c r="L8">
        <v>45.9557</v>
      </c>
    </row>
    <row r="9" spans="2:14">
      <c r="B9" t="s">
        <v>94</v>
      </c>
      <c r="C9" s="50">
        <v>550.93010000000004</v>
      </c>
      <c r="G9" s="2">
        <v>245.2</v>
      </c>
      <c r="H9">
        <v>4</v>
      </c>
      <c r="I9">
        <v>43.890599999999999</v>
      </c>
      <c r="L9">
        <v>44.5261</v>
      </c>
    </row>
    <row r="10" spans="2:14">
      <c r="B10" t="s">
        <v>34</v>
      </c>
      <c r="C10" s="3">
        <f>AVERAGE(C6:C9)</f>
        <v>550.94187499999998</v>
      </c>
      <c r="G10" s="2"/>
      <c r="H10" t="s">
        <v>34</v>
      </c>
      <c r="I10" s="20">
        <f>AVERAGE(I6:I9)</f>
        <v>44.450625000000002</v>
      </c>
      <c r="J10" s="43">
        <f>G6/I10</f>
        <v>5.5162328988625013</v>
      </c>
      <c r="K10">
        <f>J11/J10*100</f>
        <v>2.9411138208621774</v>
      </c>
      <c r="L10" s="20">
        <f>AVERAGE(L6:L9)</f>
        <v>44.884833333333326</v>
      </c>
      <c r="M10" s="43">
        <f>G6/L10</f>
        <v>5.4628697889784608</v>
      </c>
      <c r="N10">
        <f>M11/M10*100</f>
        <v>2.1033413842460535</v>
      </c>
    </row>
    <row r="11" spans="2:14">
      <c r="B11" t="s">
        <v>10</v>
      </c>
      <c r="C11" s="3">
        <f>STDEV(C6:C9)</f>
        <v>0.10160890298920557</v>
      </c>
      <c r="G11" s="2"/>
      <c r="H11" t="s">
        <v>95</v>
      </c>
      <c r="I11" s="20">
        <f>STDEV(I6:I9)</f>
        <v>1.3073434753346185</v>
      </c>
      <c r="J11" s="43">
        <f>J10*SQRT((0)^2+(I11/I10)^2)</f>
        <v>0.16223868817939138</v>
      </c>
      <c r="L11" s="20">
        <f>STDEV(L6:L9)</f>
        <v>0.94408127474986725</v>
      </c>
      <c r="M11" s="43">
        <f>M10*SQRT((0)^2+(L11/L10)^2)</f>
        <v>0.11490280103905902</v>
      </c>
    </row>
    <row r="12" spans="2:14">
      <c r="G12" s="2">
        <v>490.3</v>
      </c>
      <c r="H12">
        <v>1</v>
      </c>
      <c r="I12">
        <v>85.480800000000002</v>
      </c>
      <c r="L12">
        <v>100.5792</v>
      </c>
    </row>
    <row r="13" spans="2:14">
      <c r="G13" s="2">
        <v>490.3</v>
      </c>
      <c r="H13">
        <v>2</v>
      </c>
      <c r="L13">
        <v>96.922300000000007</v>
      </c>
    </row>
    <row r="14" spans="2:14">
      <c r="G14" s="2">
        <v>490.3</v>
      </c>
      <c r="H14">
        <v>3</v>
      </c>
      <c r="I14">
        <v>92.481499999999997</v>
      </c>
      <c r="L14">
        <v>89.019099999999995</v>
      </c>
    </row>
    <row r="15" spans="2:14">
      <c r="G15" s="2">
        <v>490.3</v>
      </c>
      <c r="H15">
        <v>4</v>
      </c>
      <c r="I15">
        <v>88.241699999999994</v>
      </c>
      <c r="L15">
        <v>92.427000000000007</v>
      </c>
    </row>
    <row r="16" spans="2:14">
      <c r="G16" s="2"/>
      <c r="H16" t="s">
        <v>34</v>
      </c>
      <c r="I16" s="20">
        <f>AVERAGE(I12:I15)</f>
        <v>88.734666666666669</v>
      </c>
      <c r="J16" s="43">
        <f>G12/I16</f>
        <v>5.5254616760078736</v>
      </c>
      <c r="K16">
        <f>J17/J16*100</f>
        <v>3.9739696611657056</v>
      </c>
      <c r="L16" s="20">
        <f>AVERAGE(L12:L15)</f>
        <v>94.736900000000006</v>
      </c>
      <c r="M16" s="43">
        <f>G12/L16</f>
        <v>5.1753857261531673</v>
      </c>
      <c r="N16">
        <f>M17/M16*100</f>
        <v>5.3455047842109007</v>
      </c>
    </row>
    <row r="17" spans="7:14">
      <c r="G17" s="2"/>
      <c r="H17" t="s">
        <v>95</v>
      </c>
      <c r="I17" s="20">
        <f>STDEV(I12:I15)</f>
        <v>3.5262887322698515</v>
      </c>
      <c r="J17" s="43">
        <f>J16*SQRT((0)^2+(I17/I16)^2)</f>
        <v>0.21958017064389102</v>
      </c>
      <c r="L17" s="20">
        <f>STDEV(L12:L15)</f>
        <v>5.0641655219130977</v>
      </c>
      <c r="M17" s="43">
        <f>M16*SQRT((0)^2+(L17/L16)^2)</f>
        <v>0.27665049159288563</v>
      </c>
    </row>
    <row r="18" spans="7:14">
      <c r="G18" s="2">
        <v>2942</v>
      </c>
      <c r="H18">
        <v>1</v>
      </c>
      <c r="I18">
        <v>543.50530000000003</v>
      </c>
      <c r="L18">
        <v>532.94989999999996</v>
      </c>
    </row>
    <row r="19" spans="7:14">
      <c r="G19" s="2">
        <v>2942</v>
      </c>
      <c r="H19">
        <v>2</v>
      </c>
      <c r="I19">
        <v>514.1105</v>
      </c>
    </row>
    <row r="20" spans="7:14">
      <c r="G20" s="2">
        <v>2942</v>
      </c>
      <c r="H20">
        <v>3</v>
      </c>
      <c r="I20">
        <v>539.51610000000005</v>
      </c>
      <c r="L20">
        <v>511.53359999999998</v>
      </c>
    </row>
    <row r="21" spans="7:14">
      <c r="G21" s="2">
        <v>2942</v>
      </c>
      <c r="H21">
        <v>4</v>
      </c>
      <c r="I21" s="50">
        <v>550.93010000000004</v>
      </c>
    </row>
    <row r="22" spans="7:14">
      <c r="G22" s="2"/>
      <c r="H22" t="s">
        <v>34</v>
      </c>
      <c r="I22" s="20">
        <f>AVERAGE(I18:I21)</f>
        <v>537.01549999999997</v>
      </c>
      <c r="J22" s="43">
        <f>G18/I22</f>
        <v>5.4784266003495246</v>
      </c>
      <c r="K22">
        <f>J23/J22*100</f>
        <v>2.9767627112418804</v>
      </c>
      <c r="L22" s="20">
        <f>AVERAGE(L18:L21)</f>
        <v>522.24174999999991</v>
      </c>
      <c r="M22" s="43">
        <f>G18/L22</f>
        <v>5.6334063678363524</v>
      </c>
      <c r="N22">
        <f>M23/M22*100</f>
        <v>2.8997319647319353</v>
      </c>
    </row>
    <row r="23" spans="7:14">
      <c r="H23" t="s">
        <v>95</v>
      </c>
      <c r="I23" s="20">
        <f>STDEV(I18:I21)</f>
        <v>15.985677157589139</v>
      </c>
      <c r="J23" s="43">
        <f>J22*SQRT((0)^2+(I23/I22)^2)</f>
        <v>0.16307976020196088</v>
      </c>
      <c r="L23" s="20">
        <f>STDEV(L18:L21)</f>
        <v>15.143610957925443</v>
      </c>
      <c r="M23" s="43">
        <f>M22*SQRT((0)^2+(L23/L22)^2)</f>
        <v>0.16335368515139503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Different Planes</vt:lpstr>
      <vt:lpstr>Pileup Profiles</vt:lpstr>
      <vt:lpstr>Pileup Profiles 2</vt:lpstr>
      <vt:lpstr>Cutoff Area Changes</vt:lpstr>
      <vt:lpstr>Before and After Gold 200nm</vt:lpstr>
      <vt:lpstr>LP, AFM</vt:lpstr>
      <vt:lpstr>Human Error</vt:lpstr>
      <vt:lpstr>Diagonals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2017-08-16T03:41:08Z</dcterms:modified>
</cp:coreProperties>
</file>