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imi-my.sharepoint.com/personal/bryndell_torio_global-imi_com/Documents/Design/Projects/PRJ02_SolarEnergy/Documents/"/>
    </mc:Choice>
  </mc:AlternateContent>
  <xr:revisionPtr revIDLastSave="537" documentId="8_{A7A24875-14DE-41C1-B980-961039655E46}" xr6:coauthVersionLast="47" xr6:coauthVersionMax="47" xr10:uidLastSave="{D8BAC934-0EB1-4BC3-9991-D85A41252417}"/>
  <bookViews>
    <workbookView xWindow="-120" yWindow="-120" windowWidth="28110" windowHeight="16440" activeTab="1" xr2:uid="{B0A7ADB9-5C5B-4E34-81DB-51FACE9885E2}"/>
  </bookViews>
  <sheets>
    <sheet name="Bills of Materials - 10KW" sheetId="1" r:id="rId1"/>
    <sheet name="Bills of Materials - 5KW" sheetId="4" r:id="rId2"/>
    <sheet name="Dimensions" sheetId="2" r:id="rId3"/>
    <sheet name="Sketch" sheetId="3" r:id="rId4"/>
    <sheet name="Return of Investment" sheetId="7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G14" i="4"/>
  <c r="G15" i="4"/>
  <c r="G19" i="4"/>
  <c r="G11" i="4"/>
  <c r="G12" i="4"/>
  <c r="G9" i="4"/>
  <c r="G13" i="4"/>
  <c r="G26" i="4"/>
  <c r="G25" i="4"/>
  <c r="F18" i="4"/>
  <c r="G18" i="4" s="1"/>
  <c r="F17" i="4"/>
  <c r="F16" i="4" s="1"/>
  <c r="G16" i="4" s="1"/>
  <c r="G10" i="4"/>
  <c r="F16" i="1"/>
  <c r="F14" i="1" s="1"/>
  <c r="F15" i="1"/>
  <c r="G13" i="1"/>
  <c r="G12" i="1"/>
  <c r="G24" i="1"/>
  <c r="G23" i="1"/>
  <c r="G9" i="1"/>
  <c r="G11" i="1"/>
  <c r="H3" i="2"/>
  <c r="H8" i="2"/>
  <c r="H2" i="2"/>
  <c r="H11" i="3"/>
  <c r="H12" i="3"/>
  <c r="J12" i="3"/>
  <c r="H13" i="3"/>
  <c r="I12" i="3" s="1"/>
  <c r="I14" i="3"/>
  <c r="E7" i="2"/>
  <c r="E6" i="2"/>
  <c r="H7" i="2" s="1"/>
  <c r="G10" i="1"/>
  <c r="G17" i="4" l="1"/>
  <c r="C4" i="4"/>
  <c r="G16" i="1"/>
  <c r="G14" i="1"/>
  <c r="G15" i="1"/>
  <c r="C3" i="1" l="1"/>
  <c r="C4" i="1" s="1"/>
</calcChain>
</file>

<file path=xl/sharedStrings.xml><?xml version="1.0" encoding="utf-8"?>
<sst xmlns="http://schemas.openxmlformats.org/spreadsheetml/2006/main" count="144" uniqueCount="78">
  <si>
    <t>Solar Inverter</t>
  </si>
  <si>
    <t>PowMr 10.2kw On-Grid/Off-Grid Hybrid Inverter 48Vdc 230VAC PV Panel Input 500vdc Pure Sine Wave Solar Inverter Built in MPPT 160A Solar Controller</t>
  </si>
  <si>
    <t>Item</t>
  </si>
  <si>
    <t>Description</t>
  </si>
  <si>
    <t>Link</t>
  </si>
  <si>
    <t>Quantity</t>
  </si>
  <si>
    <t>Price</t>
  </si>
  <si>
    <t>https://www.lazada.com.ph/products/powmr-102kw-on-gridoff-grid-hybrid-inverter-48vdc-230vac-pv-panel-input-500vdc-pure-sine-wave-solar-inverter-built-in-mppt-160a-solar-controller-i3434951850-s17611498513.html?</t>
  </si>
  <si>
    <t>Crimping Tool Kit</t>
  </si>
  <si>
    <t>MC4 Solar Crimping Tool Kit for 2.5-6.0mm²/AWG26-10 Solar Panel PV Cable with Male Female MC4 Solar Panel Cable Connectors</t>
  </si>
  <si>
    <t>https://www.lazada.com.ph/products/mc4-solar-crimping-tool-kit-for-25-60mmawg26-10-solar-panel-pv-cable-with-male-female-mc4-solar-panel-cable-connectors-i3408352496-s17423453577.html?</t>
  </si>
  <si>
    <t>Solar Panel Connector</t>
  </si>
  <si>
    <r>
      <t>2.5-6mm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/AWG26-10 Connector</t>
    </r>
  </si>
  <si>
    <t>https://www.lazada.com.ph/products/mc4-solar-crimping-tool-kit-for-25-60mmawg26-10-solar-panel-pv-cable-with-male-female-mc4-solar-panel-cable-connectors-i3408352496-s17423453574.html?</t>
  </si>
  <si>
    <t>Wire Stripper</t>
  </si>
  <si>
    <t>Wire Stripper Tools Multitool Pliers YEFYM YE-1 Automatic 3 In1 Stripping Cutter Crimping Cable Wire Electrician Repair Tools</t>
  </si>
  <si>
    <t>https://www.lazada.com.ph/products/wire-stripper-tools-multitool-pliers-yefym-ye-1-automatic-3-in1-stripping-cutter-crimping-cable-wire-electrician-repair-tools-i4208636424-s23345248194.html?</t>
  </si>
  <si>
    <t>Roof Area</t>
  </si>
  <si>
    <t>Total(PHP)</t>
  </si>
  <si>
    <t>w/ 10%</t>
  </si>
  <si>
    <t>Panel Area</t>
  </si>
  <si>
    <t>Width</t>
  </si>
  <si>
    <t>Length</t>
  </si>
  <si>
    <t>Area</t>
  </si>
  <si>
    <t>No of panels that fits the roof</t>
  </si>
  <si>
    <t>Daily consumption[Kwh]</t>
  </si>
  <si>
    <t>k</t>
  </si>
  <si>
    <t>Inverter(W)</t>
  </si>
  <si>
    <t>Panels(W)</t>
  </si>
  <si>
    <t>MAX No of panels that can be used</t>
  </si>
  <si>
    <t>Floor area of the panels</t>
  </si>
  <si>
    <t>MAX OUTPUT power of panels</t>
  </si>
  <si>
    <t>Integrated PV Power Optimizer MPPT 650W 12V-75V Input Ip68 Real-Time Solar Panel Monitoring</t>
  </si>
  <si>
    <t>MPPT</t>
  </si>
  <si>
    <t>Solar Panel</t>
  </si>
  <si>
    <t>https://www.lazada.com.ph/products/integrated-pv-power-optimizer-mppt-650w-12v-75v-input-ip68-real-time-solar-panel-monitoring-i4157089591-s23134982341.html?c=&amp;channelLpJumpArgs=&amp;clickTrackInfo=query%253Asolar%252Bpanel%252Boptimizer%253Bnid%253A4157089591%253Bsrc%253ALazadaMainSrp%253Brn%253A09c2278e356140c430104fd5f7f199aa%253Bregion%253Aph%253Bsku%253A4157089591_PH%253Bprice%253A3092%253Bclient%253Adesktop%253Bsupplier_id%253A1000154432%253Bbiz_source%253Ah5_internal%253Bslot%253A2%253Butlog_bucket_id%253A461009%253Basc_category_id%253A22652%253Bitem_id%253A4157089591%253Bsku_id%253A23134982341%253Bshop_id%253A331245&amp;fastshipping=0&amp;freeshipping=1&amp;fs_ab=2&amp;fuse_fs=&amp;lang=en&amp;location=Overseas&amp;price=3092&amp;priceCompare=skuId%3A23134982341%3Bsource%3Alazada-search-voucher%3Bsn%3A09c2278e356140c430104fd5f7f199aa%3BunionTrace%3A2141116216997173381632139ecc05%3BoriginPrice%3A309200%3BvoucherPrice%3A309200%3BdisplayPrice%3A309200%3BsinglePromotionId%3A-1%3BsingleToolCode%3AmockedSalePrice%3BvoucherPricePlugin%3A1%3BbuyerId%3A0%3Btimestamp%3A1699717338533&amp;ratingscore=0&amp;request_id=09c2278e356140c430104fd5f7f199aa&amp;review=&amp;sale=0&amp;search=1&amp;source=search&amp;spm=a2o4l.searchlist.list.6&amp;stock=1</t>
  </si>
  <si>
    <t>【JinkoTigerNeo】 Solar Panel 100W/200W+ World's Top Manufacturers Monocrystallne</t>
  </si>
  <si>
    <t>https://www.lazada.com.ph/products/jinkotigerneo-solar-panel-100w200w-worlds-top-manufacturers-monocrystallne-i3712096120-s19542862982.html?</t>
  </si>
  <si>
    <t>Labor</t>
  </si>
  <si>
    <t>EQUIPMENTS</t>
  </si>
  <si>
    <t>Foreman</t>
  </si>
  <si>
    <t>INSTALLATION</t>
  </si>
  <si>
    <t>Days</t>
  </si>
  <si>
    <t>TOOLS</t>
  </si>
  <si>
    <t>Red Wire 10AWG</t>
  </si>
  <si>
    <t>100m 328ft AWG 10 PV Solar Cable RED</t>
  </si>
  <si>
    <t>100m 328ft Solar PV cable wire gauge AWG 10 cable Black câble solaire CSA</t>
  </si>
  <si>
    <t>https://www.ebay.com/itm/282741608285</t>
  </si>
  <si>
    <t>https://www.solarshoppingmall.com/100m-328ft-AWG-10-PV-Solar-Cable-RED_p_179.html</t>
  </si>
  <si>
    <t>L-Foot</t>
  </si>
  <si>
    <t>Mid Clamp</t>
  </si>
  <si>
    <t>End Clamp</t>
  </si>
  <si>
    <t>Used to clamp the end of the panel</t>
  </si>
  <si>
    <t>Used to clamp panels side by side</t>
  </si>
  <si>
    <t>Used to mount the panel into the roof</t>
  </si>
  <si>
    <t>https://www.lazada.com.ph/products/solar-mounting-accessory-for-panel-l-foot-mid-clamp-end-clamp-rail-aluminum-railings-grounding-clip-i3289663359-s16659885349.html?</t>
  </si>
  <si>
    <t>Black Wire 10AWG</t>
  </si>
  <si>
    <t>Remarks</t>
  </si>
  <si>
    <t>Times 2 for Roof 1 and Roof2</t>
  </si>
  <si>
    <t>https://www.lazada.com.ph/products/powmr-55kw-hybrid-solar-inverter-mppt-100a-500vdc-pv-input-220vac-48v-with-parallel-function-3-phase-solar-inversor-can-work-without-battery-pow-hvm55k-48v-p-i3136906526-s21557282078.html?</t>
  </si>
  <si>
    <t>PowMr Solar MPPT DC Photovoltaic optimizer Power optimizer 650W Honeybee6</t>
  </si>
  <si>
    <t>https://www.lazada.com.ph/products/powmr-solar-mppt-dc-photovoltaic-optimizer-power-optimizer-650w-honeybee6-i3365426756-s17146870169.html?c=&amp;channelLpJumpArgs=&amp;clickTrackInfo=query%253ADC%253Bnid%253A3365426756%253Bsrc%253AlazadaInShopSrp%253Brn%253A6f82534e123d4c7c1b7c9f935c6f7fd4%253Bregion%253Aph%253Bsku%253A3365426756_PH%253Bprice%253A2882.84%253Bclient%253Adesktop%253Bsupplier_id%253A100003513%253Bbiz_source%253Ahttps%253A%252F%252Fwww.lazada.com.ph%252F%253Bslot%253A1%253Butlog_bucket_id%253A461009%253Basc_category_id%253A22654%253Bitem_id%253A3365426756%253Bsku_id%253A17146870169%253Bshop_id%253A32558&amp;fastshipping=0&amp;freeshipping=1&amp;fs_ab=2&amp;fuse_fs=&amp;lang=en&amp;location=&amp;price=2882.84&amp;priceCompare=skuId%3A17146870169%3Bsource%3Alazada-search-voucher-in-shop%3Bsn%3A6f82534e123d4c7c1b7c9f935c6f7fd4%3BunionTrace%3A2140e85316997657343735902e3f53%3BoriginPrice%3A288284%3BvoucherPrice%3A288284%3BdisplayPrice%3A288284%3BsinglePromotionId%3A900000019218733%3BsingleToolCode%3ApromPrice%3BvoucherPricePlugin%3A1%3BbuyerId%3A0%3Btimestamp%3A1699765734581&amp;ratingscore=5.0&amp;request_id=6f82534e123d4c7c1b7c9f935c6f7fd4&amp;review=4&amp;sale=17&amp;search=1&amp;spm=a2o4l.store_product.list.i5.1571477eByXcGr&amp;stock=1</t>
  </si>
  <si>
    <t>PowMr 5.5KW Hybrid Solar Inverter MPPT 100A 500Vdc PV Input 220VAC 48V With Parallel Function 3 Phase Solar Inversor Can Work without Battery POW-HVM5.5K-48V-P</t>
  </si>
  <si>
    <t>5.5KW Solar Inverter</t>
  </si>
  <si>
    <t>200W Solar Panel</t>
  </si>
  <si>
    <t>650W Power Optimizer</t>
  </si>
  <si>
    <t>Grounding Lug</t>
  </si>
  <si>
    <t>Aluminum Rails Solar Mounting</t>
  </si>
  <si>
    <t>2 pcs per order</t>
  </si>
  <si>
    <t>Aluminum Rails of Solar Mounting System 1.2M（2Pcs） and Rail Splice Rail Connector for Solar Energy System mount solar panel</t>
  </si>
  <si>
    <t>Rail splice</t>
  </si>
  <si>
    <t>Used to connect Aluminum Rails</t>
  </si>
  <si>
    <t>1 Rail Splice in between aluminum rails.</t>
  </si>
  <si>
    <t>https://www.lazada.com.ph/products/aluminum-rails-of-solar-mounting-system-12m2pcs-and-rail-splice-rail-connector-for-solar-energy-system-mount-solar-panel-i3297454265-s19102961782.html?</t>
  </si>
  <si>
    <t>Grounding Lug | Solar Mounting Accessories for Solar Panel</t>
  </si>
  <si>
    <t>https://www.lazada.com.ph/products/grounding-lug-solar-mounting-accessories-for-solar-panel-i3035518769-s14943707175.html?c=&amp;channelLpJumpArgs=&amp;clickTrackInfo=query%253Asolar%252Bgrounding%252Blugs%253Bnid%253A3035518769%253Bsrc%253ALazadaMainSrp%253Brn%253Aa76e31d9a1858a897746c8a86c463022%253Bregion%253Aph%253Bsku%253A3035518769_PH%253Bprice%253A45%253Bclient%253Adesktop%253Bsupplier_id%253A1000304152%253Bbiz_source%253Ah5_internal%253Bslot%253A2%253Butlog_bucket_id%253A461009%253Basc_category_id%253A10100220%253Bitem_id%253A3035518769%253Bsku_id%253A14943707175%253Bshop_id%253A474914&amp;fastshipping=0&amp;freeshipping=0&amp;fs_ab=2&amp;fuse_fs=&amp;lang=en&amp;location=Metro%20Manila&amp;price=45&amp;priceCompare=skuId%3A14943707175%3Bsource%3Alazada-search-voucher%3Bsn%3Aa76e31d9a1858a897746c8a86c463022%3BunionTrace%3A210103c116997682814434432e4890%3BoriginPrice%3A4500%3BvoucherPrice%3A4500%3BdisplayPrice%3A4500%3BsinglePromotionId%3A-1%3BsingleToolCode%3A-1%3BvoucherPricePlugin%3A1%3BbuyerId%3A0%3Btimestamp%3A1699768281911&amp;ratingscore=5.0&amp;request_id=a76e31d9a1858a897746c8a86c463022&amp;review=81&amp;sale=1026&amp;search=1&amp;source=search&amp;spm=a2o4l.searchlist.list.i40.19121051Rk6TnT&amp;stock=1</t>
  </si>
  <si>
    <t>Typical Return of investment for 5KW solar setup is 5 Years.</t>
  </si>
  <si>
    <t xml:space="preserve">cp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</si>
</sst>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212121"/>
      <name val="Arial"/>
      <family val="2"/>
    </font>
    <font>
      <sz val="11"/>
      <color rgb="FF000000"/>
      <name val="Arial"/>
      <family val="2"/>
    </font>
    <font>
      <sz val="11"/>
      <color rgb="FF19191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3" fillId="0" borderId="9" xfId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zada.com.ph/products/powmr-102kw-on-gridoff-grid-hybrid-inverter-48vdc-230vac-pv-panel-input-500vdc-pure-sine-wave-solar-inverter-built-in-mppt-160a-solar-controller-i3434951850-s17611498513.html?" TargetMode="External"/><Relationship Id="rId2" Type="http://schemas.openxmlformats.org/officeDocument/2006/relationships/hyperlink" Target="https://www.lazada.com.ph/products/mc4-solar-crimping-tool-kit-for-25-60mmawg26-10-solar-panel-pv-cable-with-male-female-mc4-solar-panel-cable-connectors-i3408352496-s17423453577.html?" TargetMode="External"/><Relationship Id="rId1" Type="http://schemas.openxmlformats.org/officeDocument/2006/relationships/hyperlink" Target="https://www.lazada.com.ph/products/wire-stripper-tools-multitool-pliers-yefym-ye-1-automatic-3-in1-stripping-cutter-crimping-cable-wire-electrician-repair-tools-i4208636424-s23345248194.html?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zada.com.ph/products/powmr-55kw-hybrid-solar-inverter-mppt-100a-500vdc-pv-input-220vac-48v-with-parallel-function-3-phase-solar-inversor-can-work-without-battery-pow-hvm55k-48v-p-i3136906526-s21557282078.html?" TargetMode="External"/><Relationship Id="rId2" Type="http://schemas.openxmlformats.org/officeDocument/2006/relationships/hyperlink" Target="https://www.lazada.com.ph/products/mc4-solar-crimping-tool-kit-for-25-60mmawg26-10-solar-panel-pv-cable-with-male-female-mc4-solar-panel-cable-connectors-i3408352496-s17423453577.html?" TargetMode="External"/><Relationship Id="rId1" Type="http://schemas.openxmlformats.org/officeDocument/2006/relationships/hyperlink" Target="https://www.lazada.com.ph/products/wire-stripper-tools-multitool-pliers-yefym-ye-1-automatic-3-in1-stripping-cutter-crimping-cable-wire-electrician-repair-tools-i4208636424-s23345248194.html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77EC-C211-4866-94DD-D51730BA6AF5}">
  <dimension ref="B3:I30"/>
  <sheetViews>
    <sheetView showGridLines="0" zoomScale="115" zoomScaleNormal="115" workbookViewId="0">
      <selection activeCell="C20" sqref="C20"/>
    </sheetView>
  </sheetViews>
  <sheetFormatPr defaultRowHeight="14.25" x14ac:dyDescent="0.25"/>
  <cols>
    <col min="1" max="1" width="2" style="23" bestFit="1" customWidth="1"/>
    <col min="2" max="2" width="15.42578125" style="23" bestFit="1" customWidth="1"/>
    <col min="3" max="3" width="11.28515625" style="23" bestFit="1" customWidth="1"/>
    <col min="4" max="4" width="22.42578125" style="23" bestFit="1" customWidth="1"/>
    <col min="5" max="5" width="86.28515625" style="24" bestFit="1" customWidth="1"/>
    <col min="6" max="6" width="9.42578125" style="23" bestFit="1" customWidth="1"/>
    <col min="7" max="7" width="7.85546875" style="23" bestFit="1" customWidth="1"/>
    <col min="8" max="8" width="29" style="24" bestFit="1" customWidth="1"/>
    <col min="9" max="9" width="215.5703125" style="23" bestFit="1" customWidth="1"/>
    <col min="10" max="16384" width="9.140625" style="23"/>
  </cols>
  <sheetData>
    <row r="3" spans="2:9" x14ac:dyDescent="0.25">
      <c r="B3" s="23" t="s">
        <v>18</v>
      </c>
      <c r="C3" s="23">
        <f>SUM(G:G)</f>
        <v>1101210</v>
      </c>
    </row>
    <row r="4" spans="2:9" x14ac:dyDescent="0.25">
      <c r="B4" s="23" t="s">
        <v>19</v>
      </c>
      <c r="C4" s="23">
        <f>C3*1.1</f>
        <v>1211331</v>
      </c>
    </row>
    <row r="6" spans="2:9" ht="15" thickBot="1" x14ac:dyDescent="0.3"/>
    <row r="7" spans="2:9" ht="15" x14ac:dyDescent="0.25">
      <c r="B7" s="23" t="s">
        <v>39</v>
      </c>
      <c r="D7" s="3" t="s">
        <v>2</v>
      </c>
      <c r="E7" s="4" t="s">
        <v>3</v>
      </c>
      <c r="F7" s="5" t="s">
        <v>5</v>
      </c>
      <c r="G7" s="5" t="s">
        <v>6</v>
      </c>
      <c r="H7" s="4" t="s">
        <v>57</v>
      </c>
      <c r="I7" s="9" t="s">
        <v>4</v>
      </c>
    </row>
    <row r="8" spans="2:9" ht="28.5" x14ac:dyDescent="0.25">
      <c r="D8" s="10" t="s">
        <v>0</v>
      </c>
      <c r="E8" s="2" t="s">
        <v>1</v>
      </c>
      <c r="F8" s="1">
        <v>1</v>
      </c>
      <c r="G8" s="1">
        <v>59876</v>
      </c>
      <c r="H8" s="2"/>
      <c r="I8" s="11" t="s">
        <v>7</v>
      </c>
    </row>
    <row r="9" spans="2:9" x14ac:dyDescent="0.25">
      <c r="D9" s="10" t="s">
        <v>34</v>
      </c>
      <c r="E9" s="22" t="s">
        <v>36</v>
      </c>
      <c r="F9" s="1">
        <v>48</v>
      </c>
      <c r="G9" s="1">
        <f>48*10000</f>
        <v>480000</v>
      </c>
      <c r="H9" s="2"/>
      <c r="I9" s="20" t="s">
        <v>37</v>
      </c>
    </row>
    <row r="10" spans="2:9" ht="16.5" x14ac:dyDescent="0.25">
      <c r="D10" s="10" t="s">
        <v>11</v>
      </c>
      <c r="E10" s="2" t="s">
        <v>12</v>
      </c>
      <c r="F10" s="1">
        <v>100</v>
      </c>
      <c r="G10" s="1">
        <f>F10*200</f>
        <v>20000</v>
      </c>
      <c r="H10" s="2"/>
      <c r="I10" s="17" t="s">
        <v>13</v>
      </c>
    </row>
    <row r="11" spans="2:9" ht="128.25" x14ac:dyDescent="0.25">
      <c r="D11" s="10" t="s">
        <v>33</v>
      </c>
      <c r="E11" s="2" t="s">
        <v>32</v>
      </c>
      <c r="F11" s="1">
        <v>48</v>
      </c>
      <c r="G11" s="1">
        <f>48*9276</f>
        <v>445248</v>
      </c>
      <c r="H11" s="2"/>
      <c r="I11" s="20" t="s">
        <v>35</v>
      </c>
    </row>
    <row r="12" spans="2:9" x14ac:dyDescent="0.25">
      <c r="D12" s="10" t="s">
        <v>44</v>
      </c>
      <c r="E12" s="27" t="s">
        <v>45</v>
      </c>
      <c r="F12" s="1">
        <v>2</v>
      </c>
      <c r="G12" s="1">
        <f>F12*13429</f>
        <v>26858</v>
      </c>
      <c r="H12" s="2"/>
      <c r="I12" s="20" t="s">
        <v>48</v>
      </c>
    </row>
    <row r="13" spans="2:9" x14ac:dyDescent="0.25">
      <c r="D13" s="10" t="s">
        <v>56</v>
      </c>
      <c r="E13" s="30" t="s">
        <v>46</v>
      </c>
      <c r="F13" s="1">
        <v>2</v>
      </c>
      <c r="G13" s="1">
        <f>F13*16227</f>
        <v>32454</v>
      </c>
      <c r="H13" s="2"/>
      <c r="I13" s="20" t="s">
        <v>47</v>
      </c>
    </row>
    <row r="14" spans="2:9" x14ac:dyDescent="0.25">
      <c r="D14" s="10" t="s">
        <v>49</v>
      </c>
      <c r="E14" s="30" t="s">
        <v>54</v>
      </c>
      <c r="F14" s="1">
        <f>(F15+F16)*2</f>
        <v>104</v>
      </c>
      <c r="G14" s="1">
        <f>F14*86</f>
        <v>8944</v>
      </c>
      <c r="H14" s="2" t="s">
        <v>58</v>
      </c>
      <c r="I14" s="20" t="s">
        <v>55</v>
      </c>
    </row>
    <row r="15" spans="2:9" x14ac:dyDescent="0.25">
      <c r="D15" s="10" t="s">
        <v>50</v>
      </c>
      <c r="E15" s="30" t="s">
        <v>53</v>
      </c>
      <c r="F15" s="1">
        <f>11*2*2</f>
        <v>44</v>
      </c>
      <c r="G15" s="1">
        <f>F15*68</f>
        <v>2992</v>
      </c>
      <c r="H15" s="2" t="s">
        <v>58</v>
      </c>
      <c r="I15" s="20" t="s">
        <v>55</v>
      </c>
    </row>
    <row r="16" spans="2:9" ht="15" thickBot="1" x14ac:dyDescent="0.3">
      <c r="D16" s="6" t="s">
        <v>51</v>
      </c>
      <c r="E16" s="28" t="s">
        <v>52</v>
      </c>
      <c r="F16" s="8">
        <f>2*2*2</f>
        <v>8</v>
      </c>
      <c r="G16" s="8">
        <f>F16*36</f>
        <v>288</v>
      </c>
      <c r="H16" s="7" t="s">
        <v>58</v>
      </c>
      <c r="I16" s="21" t="s">
        <v>55</v>
      </c>
    </row>
    <row r="17" spans="2:9" x14ac:dyDescent="0.25">
      <c r="E17" s="29"/>
    </row>
    <row r="18" spans="2:9" x14ac:dyDescent="0.25">
      <c r="E18" s="29"/>
    </row>
    <row r="19" spans="2:9" x14ac:dyDescent="0.25">
      <c r="E19" s="29"/>
    </row>
    <row r="21" spans="2:9" ht="15" thickBot="1" x14ac:dyDescent="0.3"/>
    <row r="22" spans="2:9" ht="15" x14ac:dyDescent="0.25">
      <c r="B22" s="23" t="s">
        <v>41</v>
      </c>
      <c r="D22" s="3" t="s">
        <v>2</v>
      </c>
      <c r="E22" s="4" t="s">
        <v>42</v>
      </c>
      <c r="F22" s="5" t="s">
        <v>5</v>
      </c>
      <c r="G22" s="26" t="s">
        <v>6</v>
      </c>
      <c r="H22" s="25"/>
    </row>
    <row r="23" spans="2:9" x14ac:dyDescent="0.25">
      <c r="D23" s="10" t="s">
        <v>38</v>
      </c>
      <c r="E23" s="2">
        <v>10</v>
      </c>
      <c r="F23" s="1">
        <v>3</v>
      </c>
      <c r="G23" s="15">
        <f>3*550*E23</f>
        <v>16500</v>
      </c>
    </row>
    <row r="24" spans="2:9" ht="15" thickBot="1" x14ac:dyDescent="0.3">
      <c r="D24" s="6" t="s">
        <v>40</v>
      </c>
      <c r="E24" s="7">
        <v>10</v>
      </c>
      <c r="F24" s="8">
        <v>1</v>
      </c>
      <c r="G24" s="16">
        <f>F24*650*E24</f>
        <v>6500</v>
      </c>
    </row>
    <row r="27" spans="2:9" ht="15" thickBot="1" x14ac:dyDescent="0.3"/>
    <row r="28" spans="2:9" ht="15" x14ac:dyDescent="0.25">
      <c r="B28" s="23" t="s">
        <v>43</v>
      </c>
      <c r="D28" s="3" t="s">
        <v>2</v>
      </c>
      <c r="E28" s="4" t="s">
        <v>3</v>
      </c>
      <c r="F28" s="5" t="s">
        <v>5</v>
      </c>
      <c r="G28" s="5" t="s">
        <v>6</v>
      </c>
      <c r="H28" s="4" t="s">
        <v>57</v>
      </c>
      <c r="I28" s="9" t="s">
        <v>4</v>
      </c>
    </row>
    <row r="29" spans="2:9" ht="28.5" x14ac:dyDescent="0.25">
      <c r="D29" s="10" t="s">
        <v>8</v>
      </c>
      <c r="E29" s="2" t="s">
        <v>9</v>
      </c>
      <c r="F29" s="1">
        <v>1</v>
      </c>
      <c r="G29" s="1">
        <v>800</v>
      </c>
      <c r="H29" s="2"/>
      <c r="I29" s="17" t="s">
        <v>10</v>
      </c>
    </row>
    <row r="30" spans="2:9" ht="29.25" thickBot="1" x14ac:dyDescent="0.3">
      <c r="D30" s="6" t="s">
        <v>14</v>
      </c>
      <c r="E30" s="7" t="s">
        <v>15</v>
      </c>
      <c r="F30" s="8">
        <v>1</v>
      </c>
      <c r="G30" s="8">
        <v>750</v>
      </c>
      <c r="H30" s="7"/>
      <c r="I30" s="18" t="s">
        <v>16</v>
      </c>
    </row>
  </sheetData>
  <hyperlinks>
    <hyperlink ref="I30" r:id="rId1" xr:uid="{A7463489-E2B7-46AA-8373-52A820574596}"/>
    <hyperlink ref="I29" r:id="rId2" xr:uid="{D6F0A26B-A967-4F7B-BAFE-BEABF0DCD8F9}"/>
    <hyperlink ref="I8" r:id="rId3" xr:uid="{77E777A0-1BF1-4CC2-A331-BBA957C463C3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A096-689C-46B9-A0EF-90EAC0D16144}">
  <dimension ref="B3:I38"/>
  <sheetViews>
    <sheetView showGridLines="0" tabSelected="1" topLeftCell="A4" zoomScale="85" zoomScaleNormal="85" workbookViewId="0">
      <selection activeCell="E38" sqref="E38"/>
    </sheetView>
  </sheetViews>
  <sheetFormatPr defaultRowHeight="14.25" x14ac:dyDescent="0.25"/>
  <cols>
    <col min="1" max="1" width="2" style="23" bestFit="1" customWidth="1"/>
    <col min="2" max="2" width="15.42578125" style="23" bestFit="1" customWidth="1"/>
    <col min="3" max="3" width="11.28515625" style="23" bestFit="1" customWidth="1"/>
    <col min="4" max="4" width="30.5703125" style="23" bestFit="1" customWidth="1"/>
    <col min="5" max="5" width="124.28515625" style="24" bestFit="1" customWidth="1"/>
    <col min="6" max="6" width="9.42578125" style="23" bestFit="1" customWidth="1"/>
    <col min="7" max="7" width="7.85546875" style="23" bestFit="1" customWidth="1"/>
    <col min="8" max="8" width="33.5703125" style="24" bestFit="1" customWidth="1"/>
    <col min="9" max="9" width="255.7109375" style="24" bestFit="1" customWidth="1"/>
    <col min="10" max="16384" width="9.140625" style="23"/>
  </cols>
  <sheetData>
    <row r="3" spans="2:9" x14ac:dyDescent="0.25">
      <c r="B3" s="23" t="s">
        <v>18</v>
      </c>
      <c r="C3" s="23">
        <f>SUM(G:G)</f>
        <v>458710</v>
      </c>
    </row>
    <row r="4" spans="2:9" x14ac:dyDescent="0.25">
      <c r="B4" s="23" t="s">
        <v>19</v>
      </c>
      <c r="C4" s="23">
        <f>C3*1.1</f>
        <v>504581.00000000006</v>
      </c>
    </row>
    <row r="6" spans="2:9" ht="15" thickBot="1" x14ac:dyDescent="0.3"/>
    <row r="7" spans="2:9" ht="15" x14ac:dyDescent="0.25">
      <c r="B7" s="23" t="s">
        <v>39</v>
      </c>
      <c r="D7" s="3" t="s">
        <v>2</v>
      </c>
      <c r="E7" s="4" t="s">
        <v>3</v>
      </c>
      <c r="F7" s="5" t="s">
        <v>5</v>
      </c>
      <c r="G7" s="5" t="s">
        <v>6</v>
      </c>
      <c r="H7" s="4" t="s">
        <v>57</v>
      </c>
      <c r="I7" s="9" t="s">
        <v>4</v>
      </c>
    </row>
    <row r="8" spans="2:9" ht="28.5" x14ac:dyDescent="0.25">
      <c r="D8" s="10" t="s">
        <v>63</v>
      </c>
      <c r="E8" s="2" t="s">
        <v>62</v>
      </c>
      <c r="F8" s="1">
        <v>1</v>
      </c>
      <c r="G8" s="1">
        <v>26677</v>
      </c>
      <c r="H8" s="2"/>
      <c r="I8" s="17" t="s">
        <v>59</v>
      </c>
    </row>
    <row r="9" spans="2:9" x14ac:dyDescent="0.25">
      <c r="D9" s="10" t="s">
        <v>64</v>
      </c>
      <c r="E9" s="22" t="s">
        <v>36</v>
      </c>
      <c r="F9" s="1">
        <v>24</v>
      </c>
      <c r="G9" s="1">
        <f>F9*10000</f>
        <v>240000</v>
      </c>
      <c r="H9" s="2"/>
      <c r="I9" s="20" t="s">
        <v>37</v>
      </c>
    </row>
    <row r="10" spans="2:9" ht="16.5" x14ac:dyDescent="0.25">
      <c r="D10" s="10" t="s">
        <v>11</v>
      </c>
      <c r="E10" s="2" t="s">
        <v>12</v>
      </c>
      <c r="F10" s="1">
        <v>100</v>
      </c>
      <c r="G10" s="1">
        <f>F10*200</f>
        <v>20000</v>
      </c>
      <c r="H10" s="2"/>
      <c r="I10" s="17" t="s">
        <v>13</v>
      </c>
    </row>
    <row r="11" spans="2:9" ht="28.5" x14ac:dyDescent="0.25">
      <c r="D11" s="10" t="s">
        <v>70</v>
      </c>
      <c r="E11" s="2" t="s">
        <v>71</v>
      </c>
      <c r="F11" s="1">
        <v>7</v>
      </c>
      <c r="G11" s="1">
        <f>F11*95</f>
        <v>665</v>
      </c>
      <c r="H11" s="2" t="s">
        <v>72</v>
      </c>
      <c r="I11" s="17" t="s">
        <v>73</v>
      </c>
    </row>
    <row r="12" spans="2:9" ht="28.5" x14ac:dyDescent="0.25">
      <c r="D12" s="10" t="s">
        <v>67</v>
      </c>
      <c r="E12" s="22" t="s">
        <v>69</v>
      </c>
      <c r="F12" s="1">
        <v>8</v>
      </c>
      <c r="G12" s="1">
        <f>F12*750</f>
        <v>6000</v>
      </c>
      <c r="H12" s="2" t="s">
        <v>68</v>
      </c>
      <c r="I12" s="17" t="s">
        <v>73</v>
      </c>
    </row>
    <row r="13" spans="2:9" ht="85.5" x14ac:dyDescent="0.25">
      <c r="D13" s="10" t="s">
        <v>65</v>
      </c>
      <c r="E13" s="22" t="s">
        <v>60</v>
      </c>
      <c r="F13" s="1">
        <v>24</v>
      </c>
      <c r="G13" s="1">
        <f>F13*2883</f>
        <v>69192</v>
      </c>
      <c r="H13" s="2"/>
      <c r="I13" s="20" t="s">
        <v>61</v>
      </c>
    </row>
    <row r="14" spans="2:9" x14ac:dyDescent="0.25">
      <c r="D14" s="10" t="s">
        <v>44</v>
      </c>
      <c r="E14" s="27" t="s">
        <v>45</v>
      </c>
      <c r="F14" s="1">
        <v>2</v>
      </c>
      <c r="G14" s="1">
        <f>F14*13429</f>
        <v>26858</v>
      </c>
      <c r="H14" s="2"/>
      <c r="I14" s="20" t="s">
        <v>48</v>
      </c>
    </row>
    <row r="15" spans="2:9" x14ac:dyDescent="0.25">
      <c r="D15" s="10" t="s">
        <v>56</v>
      </c>
      <c r="E15" s="30" t="s">
        <v>46</v>
      </c>
      <c r="F15" s="1">
        <v>2</v>
      </c>
      <c r="G15" s="1">
        <f>F15*16227</f>
        <v>32454</v>
      </c>
      <c r="H15" s="2"/>
      <c r="I15" s="20" t="s">
        <v>47</v>
      </c>
    </row>
    <row r="16" spans="2:9" x14ac:dyDescent="0.25">
      <c r="D16" s="10" t="s">
        <v>49</v>
      </c>
      <c r="E16" s="30" t="s">
        <v>54</v>
      </c>
      <c r="F16" s="1">
        <f>(F17+F18)*2</f>
        <v>104</v>
      </c>
      <c r="G16" s="1">
        <f>F16*86</f>
        <v>8944</v>
      </c>
      <c r="H16" s="2" t="s">
        <v>58</v>
      </c>
      <c r="I16" s="20" t="s">
        <v>55</v>
      </c>
    </row>
    <row r="17" spans="2:9" x14ac:dyDescent="0.25">
      <c r="D17" s="10" t="s">
        <v>50</v>
      </c>
      <c r="E17" s="30" t="s">
        <v>53</v>
      </c>
      <c r="F17" s="1">
        <f>11*2*2</f>
        <v>44</v>
      </c>
      <c r="G17" s="1">
        <f>F17*68</f>
        <v>2992</v>
      </c>
      <c r="H17" s="2" t="s">
        <v>58</v>
      </c>
      <c r="I17" s="20" t="s">
        <v>55</v>
      </c>
    </row>
    <row r="18" spans="2:9" x14ac:dyDescent="0.25">
      <c r="D18" s="10" t="s">
        <v>51</v>
      </c>
      <c r="E18" s="30" t="s">
        <v>52</v>
      </c>
      <c r="F18" s="1">
        <f>2*2*2</f>
        <v>8</v>
      </c>
      <c r="G18" s="1">
        <f>F18*36</f>
        <v>288</v>
      </c>
      <c r="H18" s="2" t="s">
        <v>58</v>
      </c>
      <c r="I18" s="20" t="s">
        <v>55</v>
      </c>
    </row>
    <row r="19" spans="2:9" ht="86.25" thickBot="1" x14ac:dyDescent="0.3">
      <c r="D19" s="6" t="s">
        <v>66</v>
      </c>
      <c r="E19" s="19" t="s">
        <v>74</v>
      </c>
      <c r="F19" s="8">
        <v>2</v>
      </c>
      <c r="G19" s="8">
        <f>F19*45</f>
        <v>90</v>
      </c>
      <c r="H19" s="7"/>
      <c r="I19" s="21" t="s">
        <v>75</v>
      </c>
    </row>
    <row r="20" spans="2:9" x14ac:dyDescent="0.25">
      <c r="E20" s="29"/>
    </row>
    <row r="21" spans="2:9" x14ac:dyDescent="0.25">
      <c r="E21" s="29"/>
    </row>
    <row r="23" spans="2:9" ht="15" thickBot="1" x14ac:dyDescent="0.3"/>
    <row r="24" spans="2:9" ht="15" x14ac:dyDescent="0.25">
      <c r="B24" s="23" t="s">
        <v>41</v>
      </c>
      <c r="D24" s="3" t="s">
        <v>2</v>
      </c>
      <c r="E24" s="4" t="s">
        <v>42</v>
      </c>
      <c r="F24" s="5" t="s">
        <v>5</v>
      </c>
      <c r="G24" s="26" t="s">
        <v>6</v>
      </c>
      <c r="H24" s="25"/>
    </row>
    <row r="25" spans="2:9" x14ac:dyDescent="0.25">
      <c r="D25" s="10" t="s">
        <v>38</v>
      </c>
      <c r="E25" s="2">
        <v>10</v>
      </c>
      <c r="F25" s="1">
        <v>3</v>
      </c>
      <c r="G25" s="15">
        <f>3*550*E25</f>
        <v>16500</v>
      </c>
    </row>
    <row r="26" spans="2:9" ht="15" thickBot="1" x14ac:dyDescent="0.3">
      <c r="D26" s="6" t="s">
        <v>40</v>
      </c>
      <c r="E26" s="7">
        <v>10</v>
      </c>
      <c r="F26" s="8">
        <v>1</v>
      </c>
      <c r="G26" s="16">
        <f>F26*650*E26</f>
        <v>6500</v>
      </c>
    </row>
    <row r="29" spans="2:9" ht="15" thickBot="1" x14ac:dyDescent="0.3"/>
    <row r="30" spans="2:9" ht="15" x14ac:dyDescent="0.25">
      <c r="B30" s="23" t="s">
        <v>43</v>
      </c>
      <c r="D30" s="3" t="s">
        <v>2</v>
      </c>
      <c r="E30" s="4" t="s">
        <v>3</v>
      </c>
      <c r="F30" s="5" t="s">
        <v>5</v>
      </c>
      <c r="G30" s="5" t="s">
        <v>6</v>
      </c>
      <c r="H30" s="4" t="s">
        <v>57</v>
      </c>
      <c r="I30" s="9" t="s">
        <v>4</v>
      </c>
    </row>
    <row r="31" spans="2:9" ht="28.5" x14ac:dyDescent="0.25">
      <c r="D31" s="10" t="s">
        <v>8</v>
      </c>
      <c r="E31" s="2" t="s">
        <v>9</v>
      </c>
      <c r="F31" s="1">
        <v>1</v>
      </c>
      <c r="G31" s="1">
        <v>800</v>
      </c>
      <c r="H31" s="2"/>
      <c r="I31" s="17" t="s">
        <v>10</v>
      </c>
    </row>
    <row r="32" spans="2:9" ht="15" thickBot="1" x14ac:dyDescent="0.3">
      <c r="D32" s="6" t="s">
        <v>14</v>
      </c>
      <c r="E32" s="7" t="s">
        <v>15</v>
      </c>
      <c r="F32" s="8">
        <v>1</v>
      </c>
      <c r="G32" s="8">
        <v>750</v>
      </c>
      <c r="H32" s="7"/>
      <c r="I32" s="18" t="s">
        <v>16</v>
      </c>
    </row>
    <row r="38" spans="5:5" x14ac:dyDescent="0.25">
      <c r="E38" s="24" t="s">
        <v>77</v>
      </c>
    </row>
  </sheetData>
  <hyperlinks>
    <hyperlink ref="I32" r:id="rId1" xr:uid="{7FA05B66-EB3A-466C-AACC-F52AC86F0D78}"/>
    <hyperlink ref="I31" r:id="rId2" xr:uid="{5B9674D4-BFB7-4F0A-ABFC-8AA6E3CD7238}"/>
    <hyperlink ref="I8" r:id="rId3" xr:uid="{91B6AFB3-F9BB-483B-9E7F-EA18541D0F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6D77-9FF6-4874-8400-5EEFABD40CB9}">
  <dimension ref="B2:H8"/>
  <sheetViews>
    <sheetView showGridLines="0" zoomScale="160" zoomScaleNormal="160" workbookViewId="0">
      <selection activeCell="C7" sqref="C7"/>
    </sheetView>
  </sheetViews>
  <sheetFormatPr defaultRowHeight="15" x14ac:dyDescent="0.25"/>
  <cols>
    <col min="2" max="2" width="11.42578125" bestFit="1" customWidth="1"/>
    <col min="3" max="3" width="6.42578125" bestFit="1" customWidth="1"/>
    <col min="4" max="4" width="7.28515625" bestFit="1" customWidth="1"/>
    <col min="5" max="5" width="8" bestFit="1" customWidth="1"/>
    <col min="7" max="7" width="32.28515625" bestFit="1" customWidth="1"/>
    <col min="8" max="8" width="12.7109375" bestFit="1" customWidth="1"/>
    <col min="10" max="10" width="23.140625" bestFit="1" customWidth="1"/>
    <col min="11" max="11" width="5.42578125" bestFit="1" customWidth="1"/>
  </cols>
  <sheetData>
    <row r="2" spans="2:8" x14ac:dyDescent="0.25">
      <c r="B2" t="s">
        <v>27</v>
      </c>
      <c r="C2">
        <v>10200</v>
      </c>
      <c r="G2" t="s">
        <v>29</v>
      </c>
      <c r="H2">
        <f>C2/C3</f>
        <v>51</v>
      </c>
    </row>
    <row r="3" spans="2:8" x14ac:dyDescent="0.25">
      <c r="B3" t="s">
        <v>28</v>
      </c>
      <c r="C3">
        <v>200</v>
      </c>
      <c r="G3" t="s">
        <v>31</v>
      </c>
      <c r="H3">
        <f>48*C3</f>
        <v>9600</v>
      </c>
    </row>
    <row r="4" spans="2:8" ht="15.75" thickBot="1" x14ac:dyDescent="0.3"/>
    <row r="5" spans="2:8" x14ac:dyDescent="0.25">
      <c r="B5" s="12"/>
      <c r="C5" s="13" t="s">
        <v>21</v>
      </c>
      <c r="D5" s="13" t="s">
        <v>22</v>
      </c>
      <c r="E5" s="14" t="s">
        <v>23</v>
      </c>
    </row>
    <row r="6" spans="2:8" x14ac:dyDescent="0.25">
      <c r="B6" s="10" t="s">
        <v>17</v>
      </c>
      <c r="C6" s="1">
        <v>5.2</v>
      </c>
      <c r="D6" s="1">
        <v>12</v>
      </c>
      <c r="E6" s="15">
        <f>C6*D6</f>
        <v>62.400000000000006</v>
      </c>
    </row>
    <row r="7" spans="2:8" ht="15.75" thickBot="1" x14ac:dyDescent="0.3">
      <c r="B7" s="6" t="s">
        <v>20</v>
      </c>
      <c r="C7" s="8">
        <v>0.67</v>
      </c>
      <c r="D7" s="8">
        <v>1.32</v>
      </c>
      <c r="E7" s="16">
        <f>C7*D7</f>
        <v>0.88440000000000007</v>
      </c>
      <c r="G7" t="s">
        <v>24</v>
      </c>
      <c r="H7">
        <f>E6/E7</f>
        <v>70.556309362279507</v>
      </c>
    </row>
    <row r="8" spans="2:8" x14ac:dyDescent="0.25">
      <c r="G8" t="s">
        <v>30</v>
      </c>
      <c r="H8">
        <f>E7*48</f>
        <v>42.4512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D2A4-68E2-4DC4-B66D-051F03A28146}">
  <dimension ref="A1:J14"/>
  <sheetViews>
    <sheetView showGridLines="0" workbookViewId="0">
      <selection activeCell="J40" sqref="J40:J41"/>
    </sheetView>
  </sheetViews>
  <sheetFormatPr defaultRowHeight="15" x14ac:dyDescent="0.25"/>
  <cols>
    <col min="1" max="1" width="2" bestFit="1" customWidth="1"/>
    <col min="7" max="7" width="23.140625" bestFit="1" customWidth="1"/>
    <col min="8" max="8" width="7" bestFit="1" customWidth="1"/>
    <col min="9" max="9" width="12" bestFit="1" customWidth="1"/>
    <col min="10" max="10" width="5" bestFit="1" customWidth="1"/>
  </cols>
  <sheetData>
    <row r="1" spans="1:10" x14ac:dyDescent="0.25">
      <c r="A1" t="s">
        <v>26</v>
      </c>
    </row>
    <row r="8" spans="1:10" x14ac:dyDescent="0.25">
      <c r="G8" t="s">
        <v>25</v>
      </c>
      <c r="H8">
        <v>22.1</v>
      </c>
    </row>
    <row r="11" spans="1:10" x14ac:dyDescent="0.25">
      <c r="H11">
        <f>22.1-9</f>
        <v>13.100000000000001</v>
      </c>
    </row>
    <row r="12" spans="1:10" x14ac:dyDescent="0.25">
      <c r="H12">
        <f>H11*288</f>
        <v>3772.8</v>
      </c>
      <c r="I12">
        <f>H13-H12</f>
        <v>2592</v>
      </c>
      <c r="J12">
        <f>4732+1964</f>
        <v>6696</v>
      </c>
    </row>
    <row r="13" spans="1:10" x14ac:dyDescent="0.25">
      <c r="H13">
        <f>H8*288</f>
        <v>6364.8</v>
      </c>
    </row>
    <row r="14" spans="1:10" x14ac:dyDescent="0.25">
      <c r="I14">
        <f>13.1/22.1</f>
        <v>0.59276018099547501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AAC6-8D55-4357-8FDD-344A8FF25B59}">
  <dimension ref="D4"/>
  <sheetViews>
    <sheetView showGridLines="0" zoomScale="190" zoomScaleNormal="190" workbookViewId="0">
      <selection activeCell="D13" sqref="D13"/>
    </sheetView>
  </sheetViews>
  <sheetFormatPr defaultRowHeight="15" x14ac:dyDescent="0.25"/>
  <cols>
    <col min="4" max="4" width="60.7109375" customWidth="1"/>
  </cols>
  <sheetData>
    <row r="4" spans="4:4" x14ac:dyDescent="0.25">
      <c r="D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Bills of Materials - 10KW</vt:lpstr>
      <vt:lpstr>Bills of Materials - 5KW</vt:lpstr>
      <vt:lpstr>Dimensions</vt:lpstr>
      <vt:lpstr>Sketch</vt:lpstr>
      <vt:lpstr>Return of 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IMI TORIO, Bryndell S.</dc:creator>
  <cp:lastModifiedBy>IMI TORIO, Bryndell S.</cp:lastModifiedBy>
  <cp:lastPrinted>2023-11-11T10:15:01Z</cp:lastPrinted>
  <dcterms:created xsi:type="dcterms:W3CDTF">2023-11-11T10:14:56Z</dcterms:created>
  <dcterms:modified xsi:type="dcterms:W3CDTF">2023-11-12T08:45:26Z</dcterms:modified>
</cp:coreProperties>
</file>