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bhishek M\Desktop\Amgen\AMGEN\"/>
    </mc:Choice>
  </mc:AlternateContent>
  <xr:revisionPtr revIDLastSave="0" documentId="8_{C21951F4-E031-4F8D-8BB2-7756EFF8F85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Valuation " sheetId="1" r:id="rId1"/>
    <sheet name="Output" sheetId="2" r:id="rId2"/>
    <sheet name="AMGEN" sheetId="3" r:id="rId3"/>
    <sheet name="AbbVie" sheetId="4" r:id="rId4"/>
    <sheet name="BMY" sheetId="6" r:id="rId5"/>
    <sheet name="Pfizer" sheetId="8" r:id="rId6"/>
    <sheet name="Regeneron" sheetId="13" r:id="rId7"/>
    <sheet name="J&amp;J" sheetId="12" r:id="rId8"/>
  </sheets>
  <calcPr calcId="191029"/>
</workbook>
</file>

<file path=xl/calcChain.xml><?xml version="1.0" encoding="utf-8"?>
<calcChain xmlns="http://schemas.openxmlformats.org/spreadsheetml/2006/main">
  <c r="N66" i="3" l="1"/>
  <c r="M66" i="3"/>
  <c r="L66" i="3"/>
  <c r="L65" i="3"/>
  <c r="N65" i="3"/>
  <c r="M65" i="3"/>
  <c r="H73" i="3"/>
  <c r="C31" i="3"/>
  <c r="C15" i="13"/>
  <c r="B17" i="2"/>
  <c r="D18" i="2" l="1"/>
  <c r="B18" i="2"/>
  <c r="H2" i="1"/>
  <c r="C53" i="1"/>
  <c r="B17" i="1" s="1"/>
  <c r="D53" i="1"/>
  <c r="B18" i="1" s="1"/>
  <c r="E53" i="1"/>
  <c r="D51" i="1"/>
  <c r="B27" i="1" s="1"/>
  <c r="E51" i="1"/>
  <c r="C44" i="1"/>
  <c r="M58" i="6" l="1"/>
  <c r="N58" i="6" s="1"/>
  <c r="M58" i="3"/>
  <c r="N58" i="3" s="1"/>
  <c r="P60" i="3"/>
  <c r="P59" i="13"/>
  <c r="P59" i="12"/>
  <c r="M74" i="12"/>
  <c r="N72" i="12"/>
  <c r="N74" i="12" s="1"/>
  <c r="M72" i="12"/>
  <c r="L67" i="12"/>
  <c r="L72" i="12" s="1"/>
  <c r="L74" i="12" s="1"/>
  <c r="H64" i="12"/>
  <c r="H62" i="12"/>
  <c r="K71" i="12"/>
  <c r="K70" i="12"/>
  <c r="K69" i="12"/>
  <c r="K67" i="12"/>
  <c r="K64" i="12"/>
  <c r="K62" i="12"/>
  <c r="K59" i="12"/>
  <c r="H67" i="12"/>
  <c r="H61" i="12"/>
  <c r="K61" i="12" s="1"/>
  <c r="B41" i="12"/>
  <c r="B40" i="12"/>
  <c r="F27" i="12"/>
  <c r="N72" i="13"/>
  <c r="N74" i="13" s="1"/>
  <c r="M72" i="13"/>
  <c r="M74" i="13" s="1"/>
  <c r="L72" i="13"/>
  <c r="L74" i="13"/>
  <c r="H69" i="13"/>
  <c r="K69" i="13" s="1"/>
  <c r="K62" i="13"/>
  <c r="K73" i="13"/>
  <c r="K71" i="13"/>
  <c r="K67" i="13"/>
  <c r="K66" i="13"/>
  <c r="K64" i="13"/>
  <c r="K61" i="13"/>
  <c r="K59" i="13"/>
  <c r="D40" i="13"/>
  <c r="C17" i="13"/>
  <c r="C18" i="13" s="1"/>
  <c r="F23" i="13"/>
  <c r="D16" i="13"/>
  <c r="C16" i="13"/>
  <c r="N72" i="8"/>
  <c r="L73" i="8"/>
  <c r="L74" i="8" s="1"/>
  <c r="K73" i="8"/>
  <c r="L72" i="8"/>
  <c r="H63" i="8"/>
  <c r="F27" i="8"/>
  <c r="F23" i="8"/>
  <c r="E19" i="3"/>
  <c r="E24" i="3"/>
  <c r="E27" i="3"/>
  <c r="E28" i="3"/>
  <c r="E29" i="3"/>
  <c r="M73" i="8" l="1"/>
  <c r="J9" i="1"/>
  <c r="J8" i="1"/>
  <c r="J7" i="1"/>
  <c r="J27" i="1"/>
  <c r="J17" i="1"/>
  <c r="J16" i="1"/>
  <c r="J26" i="1"/>
  <c r="J25" i="1"/>
  <c r="J18" i="1"/>
  <c r="K18" i="1"/>
  <c r="K17" i="1"/>
  <c r="K16" i="1"/>
  <c r="K9" i="1"/>
  <c r="K8" i="1"/>
  <c r="K26" i="1"/>
  <c r="K7" i="1"/>
  <c r="K25" i="1"/>
  <c r="K27" i="1"/>
  <c r="I8" i="1"/>
  <c r="I7" i="1"/>
  <c r="I26" i="1"/>
  <c r="I27" i="1"/>
  <c r="I18" i="1"/>
  <c r="I25" i="1"/>
  <c r="I17" i="1"/>
  <c r="I16" i="1"/>
  <c r="I9" i="1"/>
  <c r="H27" i="1"/>
  <c r="H26" i="1"/>
  <c r="H25" i="1"/>
  <c r="H18" i="1"/>
  <c r="H9" i="1"/>
  <c r="H17" i="1"/>
  <c r="H16" i="1"/>
  <c r="H8" i="1"/>
  <c r="H7" i="1"/>
  <c r="H68" i="8"/>
  <c r="H72" i="8" s="1"/>
  <c r="K72" i="8" s="1"/>
  <c r="K74" i="8" s="1"/>
  <c r="M74" i="8" l="1"/>
  <c r="N73" i="8"/>
  <c r="N74" i="8" s="1"/>
  <c r="L77" i="6"/>
  <c r="N74" i="6"/>
  <c r="M74" i="6"/>
  <c r="L74" i="6"/>
  <c r="L63" i="6"/>
  <c r="H62" i="6"/>
  <c r="H61" i="6"/>
  <c r="H63" i="6" s="1"/>
  <c r="K63" i="6" s="1"/>
  <c r="R60" i="6"/>
  <c r="H40" i="6"/>
  <c r="D40" i="6"/>
  <c r="F31" i="4"/>
  <c r="B40" i="4"/>
  <c r="B41" i="4"/>
  <c r="F23" i="6"/>
  <c r="H72" i="4"/>
  <c r="H62" i="4"/>
  <c r="H64" i="4"/>
  <c r="H68" i="4"/>
  <c r="H71" i="3"/>
  <c r="H70" i="3"/>
  <c r="K70" i="3" s="1"/>
  <c r="P73" i="3"/>
  <c r="N74" i="4"/>
  <c r="M74" i="4"/>
  <c r="L74" i="4"/>
  <c r="F27" i="4"/>
  <c r="F41" i="3"/>
  <c r="G41" i="3" s="1"/>
  <c r="H41" i="3" s="1"/>
  <c r="H45" i="3" s="1"/>
  <c r="D41" i="3"/>
  <c r="D40" i="3"/>
  <c r="N75" i="3"/>
  <c r="M75" i="3"/>
  <c r="L75" i="3"/>
  <c r="D52" i="1"/>
  <c r="B9" i="1" s="1"/>
  <c r="C52" i="1"/>
  <c r="B8" i="1" s="1"/>
  <c r="C51" i="1"/>
  <c r="B26" i="1" s="1"/>
  <c r="K72" i="3"/>
  <c r="H69" i="3"/>
  <c r="K61" i="3"/>
  <c r="K62" i="3"/>
  <c r="K63" i="3"/>
  <c r="K65" i="3"/>
  <c r="K67" i="3"/>
  <c r="K68" i="3"/>
  <c r="K74" i="3"/>
  <c r="K76" i="3"/>
  <c r="K60" i="3"/>
  <c r="B51" i="1" s="1"/>
  <c r="B25" i="1" s="1"/>
  <c r="H74" i="3"/>
  <c r="H68" i="3"/>
  <c r="H65" i="3"/>
  <c r="H64" i="3"/>
  <c r="P64" i="3" s="1"/>
  <c r="E52" i="1" l="1"/>
  <c r="K64" i="3"/>
  <c r="B53" i="1" s="1"/>
  <c r="B16" i="1" s="1"/>
  <c r="H66" i="3"/>
  <c r="K66" i="3" s="1"/>
  <c r="B52" i="1" s="1"/>
  <c r="B7" i="1" s="1"/>
  <c r="C17" i="3"/>
  <c r="H74" i="4"/>
  <c r="K73" i="3"/>
  <c r="K71" i="3"/>
  <c r="H75" i="3"/>
  <c r="K69" i="3"/>
  <c r="P66" i="3" l="1"/>
  <c r="C18" i="3"/>
  <c r="C30" i="3" s="1"/>
  <c r="E30" i="3" s="1"/>
  <c r="N27" i="1"/>
  <c r="N26" i="1"/>
  <c r="N25" i="1"/>
  <c r="C45" i="1"/>
  <c r="N18" i="1"/>
  <c r="N9" i="1"/>
  <c r="N17" i="1"/>
  <c r="N16" i="1"/>
  <c r="N8" i="1"/>
  <c r="N7" i="1"/>
  <c r="H77" i="3"/>
  <c r="K77" i="3" s="1"/>
  <c r="L77" i="3" s="1"/>
  <c r="H78" i="3"/>
  <c r="K78" i="3" s="1"/>
  <c r="K75" i="3"/>
  <c r="B35" i="1" l="1"/>
  <c r="B34" i="1"/>
  <c r="L78" i="3"/>
  <c r="M77" i="3"/>
  <c r="E26" i="3"/>
  <c r="E25" i="3"/>
  <c r="E23" i="3"/>
  <c r="E22" i="3"/>
  <c r="E21" i="3"/>
  <c r="E20" i="3"/>
  <c r="C32" i="3"/>
  <c r="N77" i="3" l="1"/>
  <c r="N78" i="3" s="1"/>
  <c r="P78" i="3" s="1"/>
  <c r="M78" i="3"/>
  <c r="E18" i="3"/>
  <c r="C33" i="3" s="1"/>
  <c r="A2" i="3" l="1"/>
  <c r="B16" i="2"/>
  <c r="B15" i="2"/>
  <c r="B14" i="2"/>
  <c r="H68" i="13" l="1"/>
  <c r="K68" i="13" s="1"/>
  <c r="M58" i="13"/>
  <c r="N58" i="13" s="1"/>
  <c r="F20" i="13"/>
  <c r="H73" i="12"/>
  <c r="K73" i="12" s="1"/>
  <c r="H68" i="12"/>
  <c r="K68" i="12" s="1"/>
  <c r="H63" i="12"/>
  <c r="M58" i="12"/>
  <c r="N58" i="12" s="1"/>
  <c r="D41" i="12"/>
  <c r="E41" i="12" s="1"/>
  <c r="D40" i="12"/>
  <c r="F20" i="12"/>
  <c r="E18" i="12"/>
  <c r="D18" i="12"/>
  <c r="K67" i="8"/>
  <c r="K61" i="8"/>
  <c r="P59" i="8"/>
  <c r="K59" i="8"/>
  <c r="M58" i="8"/>
  <c r="N58" i="8" s="1"/>
  <c r="D41" i="8"/>
  <c r="D40" i="8"/>
  <c r="E40" i="8" s="1"/>
  <c r="F20" i="8"/>
  <c r="H76" i="6"/>
  <c r="K67" i="6"/>
  <c r="K61" i="6"/>
  <c r="P59" i="6"/>
  <c r="K59" i="6"/>
  <c r="D41" i="6"/>
  <c r="E41" i="6" s="1"/>
  <c r="F20" i="6"/>
  <c r="D18" i="6"/>
  <c r="K67" i="4"/>
  <c r="K61" i="4"/>
  <c r="P59" i="4"/>
  <c r="K59" i="4"/>
  <c r="M58" i="4"/>
  <c r="N58" i="4" s="1"/>
  <c r="D41" i="4"/>
  <c r="D40" i="4"/>
  <c r="F20" i="4"/>
  <c r="M77" i="6" l="1"/>
  <c r="N77" i="6"/>
  <c r="K63" i="12"/>
  <c r="P63" i="12"/>
  <c r="F41" i="13"/>
  <c r="H41" i="13" s="1"/>
  <c r="E41" i="8"/>
  <c r="F41" i="8" s="1"/>
  <c r="G41" i="8" s="1"/>
  <c r="H41" i="8" s="1"/>
  <c r="E40" i="12"/>
  <c r="E41" i="4"/>
  <c r="F41" i="4" s="1"/>
  <c r="G41" i="4" s="1"/>
  <c r="H41" i="4" s="1"/>
  <c r="H63" i="4"/>
  <c r="H65" i="4" s="1"/>
  <c r="K65" i="4" s="1"/>
  <c r="F40" i="8"/>
  <c r="G40" i="8" s="1"/>
  <c r="H40" i="8" s="1"/>
  <c r="H63" i="13"/>
  <c r="P63" i="13" s="1"/>
  <c r="E40" i="13"/>
  <c r="F40" i="13" s="1"/>
  <c r="H65" i="12"/>
  <c r="P65" i="12" s="1"/>
  <c r="E40" i="4"/>
  <c r="F41" i="12"/>
  <c r="G41" i="12" s="1"/>
  <c r="H41" i="12" s="1"/>
  <c r="H74" i="8"/>
  <c r="H68" i="6"/>
  <c r="H72" i="6" s="1"/>
  <c r="F41" i="6"/>
  <c r="G41" i="6" s="1"/>
  <c r="H41" i="6" s="1"/>
  <c r="H72" i="12"/>
  <c r="G40" i="13" l="1"/>
  <c r="H40" i="13" s="1"/>
  <c r="H45" i="13" s="1"/>
  <c r="D17" i="13" s="1"/>
  <c r="H74" i="12"/>
  <c r="K72" i="12"/>
  <c r="K65" i="12"/>
  <c r="F40" i="12"/>
  <c r="G40" i="12" s="1"/>
  <c r="H40" i="12" s="1"/>
  <c r="H45" i="12" s="1"/>
  <c r="H65" i="13"/>
  <c r="P65" i="13" s="1"/>
  <c r="K63" i="13"/>
  <c r="H72" i="13"/>
  <c r="K70" i="13"/>
  <c r="F40" i="4"/>
  <c r="G40" i="4" s="1"/>
  <c r="H40" i="4" s="1"/>
  <c r="K74" i="4"/>
  <c r="P63" i="4"/>
  <c r="P65" i="4"/>
  <c r="H45" i="6"/>
  <c r="H45" i="8"/>
  <c r="C17" i="8" s="1"/>
  <c r="P74" i="8"/>
  <c r="H65" i="8"/>
  <c r="P63" i="8"/>
  <c r="K63" i="8"/>
  <c r="H74" i="6"/>
  <c r="P63" i="6"/>
  <c r="H65" i="6"/>
  <c r="K65" i="6" s="1"/>
  <c r="K63" i="4"/>
  <c r="H76" i="13" l="1"/>
  <c r="D18" i="13"/>
  <c r="F18" i="13" s="1"/>
  <c r="K74" i="12"/>
  <c r="P74" i="12"/>
  <c r="C18" i="8"/>
  <c r="F18" i="8" s="1"/>
  <c r="H76" i="8"/>
  <c r="C17" i="12"/>
  <c r="H74" i="13"/>
  <c r="K72" i="13"/>
  <c r="K65" i="13"/>
  <c r="F33" i="13"/>
  <c r="C17" i="6"/>
  <c r="C18" i="6" s="1"/>
  <c r="F18" i="6" s="1"/>
  <c r="P74" i="4"/>
  <c r="H45" i="4"/>
  <c r="C17" i="4" s="1"/>
  <c r="P74" i="6"/>
  <c r="H77" i="6"/>
  <c r="K74" i="6"/>
  <c r="K77" i="6" s="1"/>
  <c r="P65" i="6"/>
  <c r="P65" i="8"/>
  <c r="K65" i="8"/>
  <c r="D17" i="2"/>
  <c r="E15" i="2"/>
  <c r="E17" i="2"/>
  <c r="E16" i="2"/>
  <c r="C18" i="12" l="1"/>
  <c r="F18" i="12" s="1"/>
  <c r="E18" i="2" s="1"/>
  <c r="H76" i="12"/>
  <c r="L77" i="8"/>
  <c r="K77" i="8"/>
  <c r="N77" i="8"/>
  <c r="M77" i="8"/>
  <c r="H77" i="8"/>
  <c r="H77" i="13"/>
  <c r="P74" i="13"/>
  <c r="F33" i="8"/>
  <c r="F30" i="8"/>
  <c r="F32" i="8" s="1"/>
  <c r="N77" i="13"/>
  <c r="M77" i="13"/>
  <c r="L77" i="13"/>
  <c r="K74" i="13"/>
  <c r="K77" i="13" s="1"/>
  <c r="F30" i="13"/>
  <c r="F32" i="13" s="1"/>
  <c r="F33" i="6"/>
  <c r="F30" i="6"/>
  <c r="F32" i="6" s="1"/>
  <c r="C18" i="4"/>
  <c r="F18" i="4" s="1"/>
  <c r="H76" i="4"/>
  <c r="P77" i="6"/>
  <c r="J16" i="2"/>
  <c r="T15" i="2"/>
  <c r="T17" i="2"/>
  <c r="F17" i="2"/>
  <c r="D15" i="2"/>
  <c r="O16" i="2"/>
  <c r="T16" i="2"/>
  <c r="D16" i="2"/>
  <c r="E14" i="2"/>
  <c r="J15" i="2"/>
  <c r="O17" i="2"/>
  <c r="F16" i="2"/>
  <c r="O15" i="2"/>
  <c r="J17" i="2"/>
  <c r="F15" i="2"/>
  <c r="P77" i="8" l="1"/>
  <c r="P77" i="13"/>
  <c r="F33" i="12"/>
  <c r="F30" i="12"/>
  <c r="F32" i="12" s="1"/>
  <c r="F18" i="2" s="1"/>
  <c r="O18" i="2" s="1"/>
  <c r="I18" i="2"/>
  <c r="T18" i="2"/>
  <c r="L77" i="12"/>
  <c r="N77" i="12"/>
  <c r="M77" i="12"/>
  <c r="H77" i="12"/>
  <c r="F30" i="4"/>
  <c r="F32" i="4" s="1"/>
  <c r="K77" i="12"/>
  <c r="K76" i="4"/>
  <c r="L76" i="4" s="1"/>
  <c r="M76" i="4" s="1"/>
  <c r="N76" i="4" s="1"/>
  <c r="L77" i="4"/>
  <c r="N77" i="4"/>
  <c r="M77" i="4"/>
  <c r="H77" i="4"/>
  <c r="K77" i="4" s="1"/>
  <c r="F33" i="4"/>
  <c r="L16" i="2"/>
  <c r="M16" i="2"/>
  <c r="T14" i="2"/>
  <c r="R15" i="2"/>
  <c r="N17" i="2"/>
  <c r="N15" i="2"/>
  <c r="R17" i="2"/>
  <c r="Q16" i="2"/>
  <c r="S15" i="2"/>
  <c r="H16" i="2"/>
  <c r="L17" i="2"/>
  <c r="H17" i="2"/>
  <c r="H15" i="2"/>
  <c r="S17" i="2"/>
  <c r="I16" i="2"/>
  <c r="F14" i="2"/>
  <c r="N16" i="2"/>
  <c r="O14" i="2"/>
  <c r="Q17" i="2"/>
  <c r="L15" i="2"/>
  <c r="G17" i="2"/>
  <c r="I17" i="2"/>
  <c r="R16" i="2"/>
  <c r="M17" i="2"/>
  <c r="Q15" i="2"/>
  <c r="S16" i="2"/>
  <c r="G15" i="2"/>
  <c r="I15" i="2"/>
  <c r="D14" i="2"/>
  <c r="J14" i="2"/>
  <c r="G16" i="2"/>
  <c r="M15" i="2"/>
  <c r="H18" i="2" l="1"/>
  <c r="M18" i="2"/>
  <c r="R18" i="2"/>
  <c r="N18" i="2"/>
  <c r="L18" i="2"/>
  <c r="Q18" i="2"/>
  <c r="S18" i="2"/>
  <c r="G18" i="2"/>
  <c r="J18" i="2"/>
  <c r="J19" i="2" s="1"/>
  <c r="P77" i="12"/>
  <c r="T19" i="2"/>
  <c r="O19" i="2"/>
  <c r="O20" i="2"/>
  <c r="O21" i="2"/>
  <c r="O22" i="2"/>
  <c r="T22" i="2"/>
  <c r="T20" i="2"/>
  <c r="C35" i="1" s="1"/>
  <c r="O35" i="1" s="1"/>
  <c r="T21" i="2"/>
  <c r="P77" i="4"/>
  <c r="R14" i="2"/>
  <c r="I14" i="2"/>
  <c r="G14" i="2"/>
  <c r="L14" i="2"/>
  <c r="M14" i="2"/>
  <c r="S14" i="2"/>
  <c r="N14" i="2"/>
  <c r="H14" i="2"/>
  <c r="Q14" i="2"/>
  <c r="J22" i="2" l="1"/>
  <c r="J20" i="2"/>
  <c r="H20" i="2"/>
  <c r="J21" i="2"/>
  <c r="Q19" i="2"/>
  <c r="Q22" i="2"/>
  <c r="Q21" i="2"/>
  <c r="Q20" i="2"/>
  <c r="D27" i="1" s="1"/>
  <c r="F27" i="1" s="1"/>
  <c r="M27" i="1" s="1"/>
  <c r="P27" i="1" s="1"/>
  <c r="M19" i="2"/>
  <c r="M20" i="2"/>
  <c r="D8" i="1" s="1"/>
  <c r="F8" i="1" s="1"/>
  <c r="M8" i="1" s="1"/>
  <c r="P8" i="1" s="1"/>
  <c r="M22" i="2"/>
  <c r="M21" i="2"/>
  <c r="L19" i="2"/>
  <c r="L22" i="2"/>
  <c r="L21" i="2"/>
  <c r="L20" i="2"/>
  <c r="D26" i="1" s="1"/>
  <c r="F26" i="1" s="1"/>
  <c r="M26" i="1" s="1"/>
  <c r="P26" i="1" s="1"/>
  <c r="H22" i="2"/>
  <c r="H19" i="2"/>
  <c r="H21" i="2"/>
  <c r="G22" i="2"/>
  <c r="G21" i="2"/>
  <c r="G20" i="2"/>
  <c r="D25" i="1" s="1"/>
  <c r="F25" i="1" s="1"/>
  <c r="M25" i="1" s="1"/>
  <c r="P25" i="1" s="1"/>
  <c r="G19" i="2"/>
  <c r="I21" i="2"/>
  <c r="I22" i="2"/>
  <c r="I20" i="2"/>
  <c r="C16" i="1" s="1"/>
  <c r="E16" i="1" s="1"/>
  <c r="L16" i="1" s="1"/>
  <c r="O16" i="1" s="1"/>
  <c r="I19" i="2"/>
  <c r="S21" i="2"/>
  <c r="S22" i="2"/>
  <c r="S20" i="2"/>
  <c r="C18" i="1" s="1"/>
  <c r="E18" i="1" s="1"/>
  <c r="L18" i="1" s="1"/>
  <c r="O18" i="1" s="1"/>
  <c r="S19" i="2"/>
  <c r="N22" i="2"/>
  <c r="N21" i="2"/>
  <c r="N19" i="2"/>
  <c r="N20" i="2"/>
  <c r="D17" i="1" s="1"/>
  <c r="F17" i="1" s="1"/>
  <c r="M17" i="1" s="1"/>
  <c r="P17" i="1" s="1"/>
  <c r="R22" i="2"/>
  <c r="R19" i="2"/>
  <c r="R21" i="2"/>
  <c r="R20" i="2"/>
  <c r="D9" i="1" s="1"/>
  <c r="F9" i="1" s="1"/>
  <c r="M9" i="1" s="1"/>
  <c r="P9" i="1" s="1"/>
  <c r="D35" i="1"/>
  <c r="P35" i="1" s="1"/>
  <c r="D34" i="1"/>
  <c r="P34" i="1" s="1"/>
  <c r="C34" i="1"/>
  <c r="O34" i="1" s="1"/>
  <c r="O37" i="1" s="1"/>
  <c r="D18" i="1" l="1"/>
  <c r="F18" i="1" s="1"/>
  <c r="M18" i="1" s="1"/>
  <c r="P18" i="1" s="1"/>
  <c r="C8" i="1"/>
  <c r="E8" i="1" s="1"/>
  <c r="L8" i="1" s="1"/>
  <c r="O8" i="1" s="1"/>
  <c r="D7" i="1"/>
  <c r="F7" i="1" s="1"/>
  <c r="M7" i="1" s="1"/>
  <c r="P7" i="1" s="1"/>
  <c r="P11" i="1" s="1"/>
  <c r="C7" i="1"/>
  <c r="E7" i="1" s="1"/>
  <c r="L7" i="1" s="1"/>
  <c r="O7" i="1" s="1"/>
  <c r="P37" i="1"/>
  <c r="C17" i="1"/>
  <c r="E17" i="1" s="1"/>
  <c r="L17" i="1" s="1"/>
  <c r="O17" i="1" s="1"/>
  <c r="O20" i="1" s="1"/>
  <c r="C27" i="1"/>
  <c r="E27" i="1" s="1"/>
  <c r="L27" i="1" s="1"/>
  <c r="O27" i="1" s="1"/>
  <c r="P29" i="1"/>
  <c r="C25" i="1"/>
  <c r="E25" i="1" s="1"/>
  <c r="L25" i="1" s="1"/>
  <c r="O25" i="1" s="1"/>
  <c r="C26" i="1"/>
  <c r="E26" i="1" s="1"/>
  <c r="L26" i="1" s="1"/>
  <c r="O26" i="1" s="1"/>
  <c r="D16" i="1"/>
  <c r="F16" i="1" s="1"/>
  <c r="M16" i="1" s="1"/>
  <c r="P16" i="1" s="1"/>
  <c r="C9" i="1"/>
  <c r="E9" i="1" s="1"/>
  <c r="L9" i="1" s="1"/>
  <c r="O9" i="1" s="1"/>
  <c r="P20" i="1" l="1"/>
  <c r="O11" i="1"/>
  <c r="O29" i="1"/>
</calcChain>
</file>

<file path=xl/sharedStrings.xml><?xml version="1.0" encoding="utf-8"?>
<sst xmlns="http://schemas.openxmlformats.org/spreadsheetml/2006/main" count="647" uniqueCount="170">
  <si>
    <t>Median</t>
  </si>
  <si>
    <t>25th Percentile</t>
  </si>
  <si>
    <t>Industry Multiple Range</t>
  </si>
  <si>
    <t>Minority Interest</t>
  </si>
  <si>
    <t>Total Debt</t>
  </si>
  <si>
    <t>Debt Equivalent</t>
  </si>
  <si>
    <t>Cash &amp; Cash Eq</t>
  </si>
  <si>
    <t>Investments</t>
  </si>
  <si>
    <t>Diluted Shares O/S</t>
  </si>
  <si>
    <t>75th Percentile</t>
  </si>
  <si>
    <t>Metrics</t>
  </si>
  <si>
    <t>Lower</t>
  </si>
  <si>
    <t>Higher</t>
  </si>
  <si>
    <t>LTM EV/EBITDA</t>
  </si>
  <si>
    <t>FY1 EV/EBITDA</t>
  </si>
  <si>
    <t>FY2 EV/EBITDA</t>
  </si>
  <si>
    <t>LTM EV/EBIT</t>
  </si>
  <si>
    <t>FY1 EV/EBIT</t>
  </si>
  <si>
    <t>FY2 EV/EBIT</t>
  </si>
  <si>
    <t>LTM EV/Sales</t>
  </si>
  <si>
    <t>FY1 EV/Sales</t>
  </si>
  <si>
    <t>FY2 EV/Sales</t>
  </si>
  <si>
    <t>FY1 P/E</t>
  </si>
  <si>
    <t>FY2 P/E</t>
  </si>
  <si>
    <t>Basic Shares o/s</t>
  </si>
  <si>
    <t>Diluted Shares o/s</t>
  </si>
  <si>
    <t>Exercise</t>
  </si>
  <si>
    <t>Notional</t>
  </si>
  <si>
    <t>Net</t>
  </si>
  <si>
    <t>Price</t>
  </si>
  <si>
    <t>ITM?</t>
  </si>
  <si>
    <t>Shares Issued</t>
  </si>
  <si>
    <t>Cash</t>
  </si>
  <si>
    <t>Buyback</t>
  </si>
  <si>
    <t>Dilution</t>
  </si>
  <si>
    <t>LTM</t>
  </si>
  <si>
    <t>Sales</t>
  </si>
  <si>
    <t>EBITDA</t>
  </si>
  <si>
    <t>EBIT</t>
  </si>
  <si>
    <t>Comparable Company Analysis</t>
  </si>
  <si>
    <t>Industry</t>
  </si>
  <si>
    <t>Geography</t>
  </si>
  <si>
    <t>Currency</t>
  </si>
  <si>
    <t>USD</t>
  </si>
  <si>
    <t>F33</t>
  </si>
  <si>
    <t>F18</t>
  </si>
  <si>
    <t>F32</t>
  </si>
  <si>
    <t>K59</t>
  </si>
  <si>
    <t>K65</t>
  </si>
  <si>
    <t>K63</t>
  </si>
  <si>
    <t>K74</t>
  </si>
  <si>
    <t>L59</t>
  </si>
  <si>
    <t>L65</t>
  </si>
  <si>
    <t>L63</t>
  </si>
  <si>
    <t>L74</t>
  </si>
  <si>
    <t>M59</t>
  </si>
  <si>
    <t>M65</t>
  </si>
  <si>
    <t>M63</t>
  </si>
  <si>
    <t>M74</t>
  </si>
  <si>
    <t>Reported Currency</t>
  </si>
  <si>
    <t>Exchange Rate</t>
  </si>
  <si>
    <t>LTM Multiples</t>
  </si>
  <si>
    <t>Peer Group Companies</t>
  </si>
  <si>
    <t>CMP</t>
  </si>
  <si>
    <t>Market Cap</t>
  </si>
  <si>
    <t>EV</t>
  </si>
  <si>
    <t>EV/Sales</t>
  </si>
  <si>
    <t>EV/EBITDA</t>
  </si>
  <si>
    <t>EV/EBIT</t>
  </si>
  <si>
    <t>P/E</t>
  </si>
  <si>
    <t>Mean</t>
  </si>
  <si>
    <t>Basic Details</t>
  </si>
  <si>
    <t>Analyst Name</t>
  </si>
  <si>
    <t>Updation Date</t>
  </si>
  <si>
    <t>Ticker</t>
  </si>
  <si>
    <t>Latest Annual</t>
  </si>
  <si>
    <t>Latest Quarter</t>
  </si>
  <si>
    <t>Tax Rate</t>
  </si>
  <si>
    <t>Enterprise Value</t>
  </si>
  <si>
    <t>Class A</t>
  </si>
  <si>
    <t>Class B</t>
  </si>
  <si>
    <t>Class C</t>
  </si>
  <si>
    <t>Per Share Price</t>
  </si>
  <si>
    <t>Shares Outstanding Basic</t>
  </si>
  <si>
    <t>Shares Outstanding Diluted</t>
  </si>
  <si>
    <t>+ Pref. Share Capital</t>
  </si>
  <si>
    <t>Total Pref. Capital (Other Than Convertible) in Balance Sheet</t>
  </si>
  <si>
    <t>Add: Convertible Pref Not Converted to Common Equity</t>
  </si>
  <si>
    <t>+ Debt</t>
  </si>
  <si>
    <t>: Total Debt (Other Than Convertible) Reported in B/S</t>
  </si>
  <si>
    <t>Add: Convertible Debt not Converted to Common Equity</t>
  </si>
  <si>
    <t>+ Debt Equivalents</t>
  </si>
  <si>
    <t>Unfunded Pension Obligations</t>
  </si>
  <si>
    <t>Capitalised Value of Operating Lease</t>
  </si>
  <si>
    <t>- Cash &amp; Cash Equivalents</t>
  </si>
  <si>
    <t>Total Enterprise Value</t>
  </si>
  <si>
    <t>Non Operating Assets</t>
  </si>
  <si>
    <t>Operating EV</t>
  </si>
  <si>
    <t>Weighted Average Share Price of All Classes of Share</t>
  </si>
  <si>
    <t>Calculation of Dilution</t>
  </si>
  <si>
    <t xml:space="preserve">ESoPS/Warrants/RSUs/PSU </t>
  </si>
  <si>
    <t>Units Outstanding</t>
  </si>
  <si>
    <t>Convertible Debt / Pref shares</t>
  </si>
  <si>
    <t>Conversion Price</t>
  </si>
  <si>
    <t>Share Dilution</t>
  </si>
  <si>
    <t>Nature</t>
  </si>
  <si>
    <t>Face Value</t>
  </si>
  <si>
    <t>BV</t>
  </si>
  <si>
    <t>Debt/Pref</t>
  </si>
  <si>
    <t>Key Financials</t>
  </si>
  <si>
    <t>Annual</t>
  </si>
  <si>
    <t>Crt. YTD</t>
  </si>
  <si>
    <t>Pr. YTD</t>
  </si>
  <si>
    <t>FY1</t>
  </si>
  <si>
    <t>FY2</t>
  </si>
  <si>
    <t>FY3</t>
  </si>
  <si>
    <t>12M</t>
  </si>
  <si>
    <t>Reported Sales</t>
  </si>
  <si>
    <t>Reported EBIT/Operating Income</t>
  </si>
  <si>
    <t>Add/Less: Exceptional/No-Operating Items reported above EBIT</t>
  </si>
  <si>
    <t>Adjusted EBIT</t>
  </si>
  <si>
    <t>Add: D&amp;A</t>
  </si>
  <si>
    <t>Adjusted EBITDA</t>
  </si>
  <si>
    <t>Reported Net Income</t>
  </si>
  <si>
    <t>Add/Less: Exceptional Items reported above EBIT</t>
  </si>
  <si>
    <t>Add/Less: Exceptional Items reported below EBIT</t>
  </si>
  <si>
    <t>Less: Tax on Adjustments</t>
  </si>
  <si>
    <t>Add/Less: Non Tax Deductable Adjustments</t>
  </si>
  <si>
    <t>Adjusted Net Income</t>
  </si>
  <si>
    <t>Less: Share of Minority Interest</t>
  </si>
  <si>
    <t>Adjusted Net Income to Common Shareholders of the Company</t>
  </si>
  <si>
    <t>Diluted Weighted Average No of Shares</t>
  </si>
  <si>
    <t>Diluted EPS</t>
  </si>
  <si>
    <t xml:space="preserve">Stock options/ESoPS/Warrants/RSUs/PSU </t>
  </si>
  <si>
    <t>Estimates</t>
  </si>
  <si>
    <t>CAGR</t>
  </si>
  <si>
    <t>6M</t>
  </si>
  <si>
    <t>Total</t>
  </si>
  <si>
    <t>J&amp;J</t>
  </si>
  <si>
    <t>In USD Millions</t>
  </si>
  <si>
    <t>Regeneron Pharmaceuticals</t>
  </si>
  <si>
    <t xml:space="preserve">Pfizer </t>
  </si>
  <si>
    <t xml:space="preserve">AbbVie </t>
  </si>
  <si>
    <t>Implied EV-Amgen</t>
  </si>
  <si>
    <t>Implied Equity-Amgen</t>
  </si>
  <si>
    <t>Implied Per Share Value-Amgen</t>
  </si>
  <si>
    <t>Amgen Valuation Range as per Trading Comps</t>
  </si>
  <si>
    <t>Calculation of Diluted Shares-Amgen</t>
  </si>
  <si>
    <t>Amgen</t>
  </si>
  <si>
    <t>Bristol Myers Squibb</t>
  </si>
  <si>
    <t>AbbVie</t>
  </si>
  <si>
    <t>BMY</t>
  </si>
  <si>
    <t>Pfizer</t>
  </si>
  <si>
    <t>Regeneron</t>
  </si>
  <si>
    <t>Abhishek M</t>
  </si>
  <si>
    <t>AMGN</t>
  </si>
  <si>
    <t>31st December 2023</t>
  </si>
  <si>
    <t>ABBV</t>
  </si>
  <si>
    <t>PFE</t>
  </si>
  <si>
    <t>REGN</t>
  </si>
  <si>
    <t>JNJ</t>
  </si>
  <si>
    <t>JOHNSON &amp; JOHNSON</t>
  </si>
  <si>
    <t>Biotech</t>
  </si>
  <si>
    <t>US &amp; ROW</t>
  </si>
  <si>
    <t>E10</t>
  </si>
  <si>
    <t>FY1 Multiples</t>
  </si>
  <si>
    <t>FY2 Multiples</t>
  </si>
  <si>
    <t>Name Of Target Company : AMGEN INC</t>
  </si>
  <si>
    <t>Source of Estimates: Consensus estimates from market screener as on 24 April 2024</t>
  </si>
  <si>
    <t>Source of Estimates: Consensus estimates from market screener as on 24th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</si>
</sst>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* #,##0_);_(* \(#,##0\);_(* &quot;-&quot;??_);_(@_)"/>
    <numFmt numFmtId="165" formatCode="0.0&quot;x&quot;"/>
    <numFmt numFmtId="166" formatCode="0.0"/>
    <numFmt numFmtId="167" formatCode="_ * #,##0.0_ ;_ * \-#,##0.0_ ;_ * &quot;-&quot;??_ ;_ @_ "/>
    <numFmt numFmtId="168" formatCode="_(* #,##0.0_);_(* \(#,##0.0\);_(* &quot;-&quot;??_);_(@_)"/>
    <numFmt numFmtId="169" formatCode="0.0%"/>
    <numFmt numFmtId="170" formatCode="_ * #,##0_ ;_ * \-#,##0_ ;_ * &quot;-&quot;??_ ;_ @_ "/>
    <numFmt numFmtId="171" formatCode="_(* #,##0.00_);_(* \(#,##0.00\);_(* &quot;-&quot;??_);_(@_)"/>
    <numFmt numFmtId="172" formatCode="#,##0.0"/>
    <numFmt numFmtId="173" formatCode="0.0\x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ll Sans"/>
    </font>
    <font>
      <i/>
      <sz val="10"/>
      <color theme="1"/>
      <name val="Gill Sans"/>
    </font>
    <font>
      <b/>
      <sz val="10"/>
      <color theme="1"/>
      <name val="Gill Sans"/>
    </font>
    <font>
      <sz val="11"/>
      <color theme="1"/>
      <name val="Calibri"/>
      <family val="2"/>
    </font>
    <font>
      <b/>
      <sz val="18"/>
      <color theme="1"/>
      <name val="Gill Sans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b/>
      <sz val="16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</font>
    <font>
      <u/>
      <sz val="10"/>
      <color theme="1"/>
      <name val="Gill Sans"/>
    </font>
    <font>
      <b/>
      <sz val="11"/>
      <color theme="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rgb="FF1F38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4" tint="0.79998168889431442"/>
        <bgColor rgb="FF002060"/>
      </patternFill>
    </fill>
    <fill>
      <patternFill patternType="solid">
        <fgColor theme="4" tint="0.39997558519241921"/>
        <bgColor rgb="FF1F38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4" tint="0.79998168889431442"/>
        <bgColor rgb="FF8EAADB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rgb="FF1F38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C5E0B3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8D8D8"/>
      </patternFill>
    </fill>
    <fill>
      <patternFill patternType="solid">
        <fgColor theme="4" tint="0.39997558519241921"/>
        <bgColor rgb="FFD8D8D8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D8D8D8"/>
      </patternFill>
    </fill>
    <fill>
      <patternFill patternType="solid">
        <fgColor rgb="FF002060"/>
        <bgColor theme="0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5">
    <xf numFmtId="0" fontId="0" fillId="0" borderId="0" xfId="0"/>
    <xf numFmtId="0" fontId="5" fillId="3" borderId="1" xfId="0" applyFont="1" applyFill="1" applyBorder="1"/>
    <xf numFmtId="0" fontId="5" fillId="4" borderId="0" xfId="0" applyFont="1" applyFill="1"/>
    <xf numFmtId="0" fontId="5" fillId="4" borderId="15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4" borderId="0" xfId="0" applyFont="1" applyFill="1" applyAlignment="1">
      <alignment horizontal="center"/>
    </xf>
    <xf numFmtId="171" fontId="5" fillId="5" borderId="1" xfId="0" applyNumberFormat="1" applyFont="1" applyFill="1" applyBorder="1"/>
    <xf numFmtId="164" fontId="5" fillId="5" borderId="1" xfId="0" applyNumberFormat="1" applyFont="1" applyFill="1" applyBorder="1"/>
    <xf numFmtId="0" fontId="5" fillId="4" borderId="11" xfId="0" applyFont="1" applyFill="1" applyBorder="1"/>
    <xf numFmtId="16" fontId="5" fillId="4" borderId="0" xfId="0" applyNumberFormat="1" applyFont="1" applyFill="1"/>
    <xf numFmtId="164" fontId="5" fillId="4" borderId="11" xfId="0" applyNumberFormat="1" applyFont="1" applyFill="1" applyBorder="1"/>
    <xf numFmtId="164" fontId="5" fillId="6" borderId="1" xfId="0" applyNumberFormat="1" applyFont="1" applyFill="1" applyBorder="1"/>
    <xf numFmtId="164" fontId="5" fillId="4" borderId="0" xfId="0" applyNumberFormat="1" applyFont="1" applyFill="1"/>
    <xf numFmtId="164" fontId="5" fillId="6" borderId="17" xfId="0" applyNumberFormat="1" applyFont="1" applyFill="1" applyBorder="1"/>
    <xf numFmtId="164" fontId="5" fillId="5" borderId="17" xfId="0" applyNumberFormat="1" applyFont="1" applyFill="1" applyBorder="1"/>
    <xf numFmtId="0" fontId="5" fillId="4" borderId="15" xfId="0" quotePrefix="1" applyFont="1" applyFill="1" applyBorder="1"/>
    <xf numFmtId="43" fontId="5" fillId="6" borderId="21" xfId="0" applyNumberFormat="1" applyFont="1" applyFill="1" applyBorder="1"/>
    <xf numFmtId="17" fontId="5" fillId="4" borderId="0" xfId="0" applyNumberFormat="1" applyFont="1" applyFill="1"/>
    <xf numFmtId="0" fontId="5" fillId="3" borderId="22" xfId="0" applyFont="1" applyFill="1" applyBorder="1"/>
    <xf numFmtId="0" fontId="5" fillId="3" borderId="7" xfId="0" applyFont="1" applyFill="1" applyBorder="1"/>
    <xf numFmtId="0" fontId="5" fillId="4" borderId="15" xfId="0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right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168" fontId="5" fillId="5" borderId="16" xfId="0" applyNumberFormat="1" applyFont="1" applyFill="1" applyBorder="1"/>
    <xf numFmtId="168" fontId="5" fillId="5" borderId="1" xfId="0" applyNumberFormat="1" applyFont="1" applyFill="1" applyBorder="1"/>
    <xf numFmtId="168" fontId="5" fillId="6" borderId="1" xfId="0" applyNumberFormat="1" applyFont="1" applyFill="1" applyBorder="1" applyAlignment="1">
      <alignment horizontal="center"/>
    </xf>
    <xf numFmtId="168" fontId="5" fillId="6" borderId="1" xfId="0" applyNumberFormat="1" applyFont="1" applyFill="1" applyBorder="1"/>
    <xf numFmtId="168" fontId="5" fillId="6" borderId="17" xfId="0" applyNumberFormat="1" applyFont="1" applyFill="1" applyBorder="1"/>
    <xf numFmtId="168" fontId="5" fillId="4" borderId="0" xfId="0" applyNumberFormat="1" applyFont="1" applyFill="1"/>
    <xf numFmtId="168" fontId="5" fillId="6" borderId="18" xfId="0" applyNumberFormat="1" applyFont="1" applyFill="1" applyBorder="1"/>
    <xf numFmtId="0" fontId="5" fillId="4" borderId="25" xfId="0" applyFont="1" applyFill="1" applyBorder="1"/>
    <xf numFmtId="0" fontId="6" fillId="4" borderId="0" xfId="0" applyFont="1" applyFill="1"/>
    <xf numFmtId="43" fontId="5" fillId="5" borderId="1" xfId="0" applyNumberFormat="1" applyFont="1" applyFill="1" applyBorder="1"/>
    <xf numFmtId="43" fontId="5" fillId="6" borderId="1" xfId="0" applyNumberFormat="1" applyFont="1" applyFill="1" applyBorder="1"/>
    <xf numFmtId="43" fontId="5" fillId="6" borderId="17" xfId="0" applyNumberFormat="1" applyFont="1" applyFill="1" applyBorder="1"/>
    <xf numFmtId="43" fontId="5" fillId="4" borderId="0" xfId="0" applyNumberFormat="1" applyFont="1" applyFill="1"/>
    <xf numFmtId="43" fontId="5" fillId="6" borderId="8" xfId="0" applyNumberFormat="1" applyFont="1" applyFill="1" applyBorder="1"/>
    <xf numFmtId="164" fontId="5" fillId="4" borderId="13" xfId="0" applyNumberFormat="1" applyFont="1" applyFill="1" applyBorder="1"/>
    <xf numFmtId="43" fontId="5" fillId="6" borderId="27" xfId="0" applyNumberFormat="1" applyFont="1" applyFill="1" applyBorder="1"/>
    <xf numFmtId="43" fontId="5" fillId="6" borderId="18" xfId="0" applyNumberFormat="1" applyFont="1" applyFill="1" applyBorder="1"/>
    <xf numFmtId="10" fontId="5" fillId="5" borderId="1" xfId="0" applyNumberFormat="1" applyFont="1" applyFill="1" applyBorder="1"/>
    <xf numFmtId="0" fontId="7" fillId="4" borderId="0" xfId="0" applyFont="1" applyFill="1"/>
    <xf numFmtId="0" fontId="3" fillId="4" borderId="0" xfId="0" applyFont="1" applyFill="1"/>
    <xf numFmtId="0" fontId="5" fillId="3" borderId="6" xfId="0" applyFont="1" applyFill="1" applyBorder="1"/>
    <xf numFmtId="0" fontId="5" fillId="3" borderId="22" xfId="0" applyFont="1" applyFill="1" applyBorder="1" applyAlignment="1">
      <alignment horizontal="right"/>
    </xf>
    <xf numFmtId="164" fontId="6" fillId="5" borderId="1" xfId="0" applyNumberFormat="1" applyFont="1" applyFill="1" applyBorder="1"/>
    <xf numFmtId="164" fontId="6" fillId="6" borderId="1" xfId="0" applyNumberFormat="1" applyFont="1" applyFill="1" applyBorder="1"/>
    <xf numFmtId="0" fontId="7" fillId="4" borderId="23" xfId="0" applyFont="1" applyFill="1" applyBorder="1"/>
    <xf numFmtId="0" fontId="7" fillId="4" borderId="24" xfId="0" applyFont="1" applyFill="1" applyBorder="1"/>
    <xf numFmtId="164" fontId="7" fillId="4" borderId="24" xfId="0" applyNumberFormat="1" applyFont="1" applyFill="1" applyBorder="1"/>
    <xf numFmtId="164" fontId="7" fillId="6" borderId="18" xfId="0" applyNumberFormat="1" applyFont="1" applyFill="1" applyBorder="1"/>
    <xf numFmtId="164" fontId="7" fillId="4" borderId="0" xfId="0" applyNumberFormat="1" applyFont="1" applyFill="1"/>
    <xf numFmtId="164" fontId="6" fillId="4" borderId="0" xfId="0" applyNumberFormat="1" applyFont="1" applyFill="1"/>
    <xf numFmtId="0" fontId="6" fillId="4" borderId="9" xfId="0" applyFont="1" applyFill="1" applyBorder="1"/>
    <xf numFmtId="0" fontId="6" fillId="4" borderId="25" xfId="0" applyFont="1" applyFill="1" applyBorder="1"/>
    <xf numFmtId="0" fontId="6" fillId="4" borderId="15" xfId="0" applyFont="1" applyFill="1" applyBorder="1"/>
    <xf numFmtId="0" fontId="6" fillId="4" borderId="0" xfId="0" applyFont="1" applyFill="1" applyAlignment="1">
      <alignment horizontal="right"/>
    </xf>
    <xf numFmtId="167" fontId="5" fillId="6" borderId="21" xfId="0" applyNumberFormat="1" applyFont="1" applyFill="1" applyBorder="1"/>
    <xf numFmtId="0" fontId="9" fillId="9" borderId="1" xfId="0" applyFont="1" applyFill="1" applyBorder="1"/>
    <xf numFmtId="0" fontId="5" fillId="9" borderId="1" xfId="0" applyFont="1" applyFill="1" applyBorder="1"/>
    <xf numFmtId="0" fontId="7" fillId="9" borderId="1" xfId="0" applyFont="1" applyFill="1" applyBorder="1"/>
    <xf numFmtId="168" fontId="5" fillId="12" borderId="1" xfId="0" applyNumberFormat="1" applyFont="1" applyFill="1" applyBorder="1"/>
    <xf numFmtId="0" fontId="8" fillId="4" borderId="0" xfId="0" applyFont="1" applyFill="1" applyAlignment="1">
      <alignment horizontal="center" wrapText="1"/>
    </xf>
    <xf numFmtId="167" fontId="8" fillId="4" borderId="0" xfId="0" applyNumberFormat="1" applyFont="1" applyFill="1"/>
    <xf numFmtId="168" fontId="8" fillId="11" borderId="1" xfId="0" applyNumberFormat="1" applyFont="1" applyFill="1" applyBorder="1"/>
    <xf numFmtId="0" fontId="8" fillId="4" borderId="19" xfId="0" applyFont="1" applyFill="1" applyBorder="1"/>
    <xf numFmtId="0" fontId="11" fillId="4" borderId="19" xfId="0" applyFont="1" applyFill="1" applyBorder="1"/>
    <xf numFmtId="0" fontId="8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0" xfId="0" applyFont="1" applyFill="1" applyBorder="1"/>
    <xf numFmtId="0" fontId="5" fillId="4" borderId="35" xfId="0" applyFont="1" applyFill="1" applyBorder="1"/>
    <xf numFmtId="0" fontId="5" fillId="4" borderId="32" xfId="0" applyFont="1" applyFill="1" applyBorder="1"/>
    <xf numFmtId="0" fontId="5" fillId="3" borderId="37" xfId="0" applyFont="1" applyFill="1" applyBorder="1"/>
    <xf numFmtId="0" fontId="5" fillId="3" borderId="38" xfId="0" applyFont="1" applyFill="1" applyBorder="1"/>
    <xf numFmtId="9" fontId="5" fillId="4" borderId="3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/>
    <xf numFmtId="164" fontId="5" fillId="4" borderId="30" xfId="0" applyNumberFormat="1" applyFont="1" applyFill="1" applyBorder="1"/>
    <xf numFmtId="0" fontId="5" fillId="3" borderId="22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 vertical="center"/>
    </xf>
    <xf numFmtId="0" fontId="14" fillId="4" borderId="0" xfId="0" applyFont="1" applyFill="1"/>
    <xf numFmtId="164" fontId="7" fillId="5" borderId="1" xfId="0" applyNumberFormat="1" applyFont="1" applyFill="1" applyBorder="1"/>
    <xf numFmtId="0" fontId="5" fillId="3" borderId="43" xfId="0" applyFont="1" applyFill="1" applyBorder="1"/>
    <xf numFmtId="0" fontId="5" fillId="3" borderId="44" xfId="0" applyFont="1" applyFill="1" applyBorder="1"/>
    <xf numFmtId="0" fontId="5" fillId="3" borderId="40" xfId="0" applyFont="1" applyFill="1" applyBorder="1"/>
    <xf numFmtId="0" fontId="5" fillId="4" borderId="45" xfId="0" applyFont="1" applyFill="1" applyBorder="1" applyAlignment="1">
      <alignment horizontal="center"/>
    </xf>
    <xf numFmtId="15" fontId="5" fillId="5" borderId="30" xfId="0" applyNumberFormat="1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9" fontId="5" fillId="5" borderId="32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7" fillId="8" borderId="30" xfId="0" applyFont="1" applyFill="1" applyBorder="1"/>
    <xf numFmtId="0" fontId="5" fillId="8" borderId="30" xfId="0" applyFont="1" applyFill="1" applyBorder="1"/>
    <xf numFmtId="0" fontId="7" fillId="4" borderId="30" xfId="0" applyFont="1" applyFill="1" applyBorder="1"/>
    <xf numFmtId="0" fontId="3" fillId="4" borderId="30" xfId="0" applyFont="1" applyFill="1" applyBorder="1"/>
    <xf numFmtId="164" fontId="7" fillId="4" borderId="30" xfId="0" applyNumberFormat="1" applyFont="1" applyFill="1" applyBorder="1"/>
    <xf numFmtId="0" fontId="5" fillId="7" borderId="30" xfId="0" applyFont="1" applyFill="1" applyBorder="1" applyAlignment="1">
      <alignment horizontal="right"/>
    </xf>
    <xf numFmtId="0" fontId="5" fillId="7" borderId="30" xfId="0" applyFont="1" applyFill="1" applyBorder="1"/>
    <xf numFmtId="10" fontId="7" fillId="5" borderId="1" xfId="0" applyNumberFormat="1" applyFont="1" applyFill="1" applyBorder="1"/>
    <xf numFmtId="164" fontId="7" fillId="7" borderId="30" xfId="0" applyNumberFormat="1" applyFont="1" applyFill="1" applyBorder="1"/>
    <xf numFmtId="9" fontId="5" fillId="5" borderId="27" xfId="0" applyNumberFormat="1" applyFont="1" applyFill="1" applyBorder="1" applyAlignment="1">
      <alignment horizontal="center"/>
    </xf>
    <xf numFmtId="168" fontId="5" fillId="6" borderId="1" xfId="0" applyNumberFormat="1" applyFont="1" applyFill="1" applyBorder="1" applyAlignment="1">
      <alignment horizontal="center" vertical="center"/>
    </xf>
    <xf numFmtId="15" fontId="5" fillId="4" borderId="30" xfId="0" applyNumberFormat="1" applyFont="1" applyFill="1" applyBorder="1" applyAlignment="1">
      <alignment horizontal="center"/>
    </xf>
    <xf numFmtId="170" fontId="5" fillId="6" borderId="1" xfId="1" applyNumberFormat="1" applyFont="1" applyFill="1" applyBorder="1"/>
    <xf numFmtId="170" fontId="5" fillId="5" borderId="17" xfId="1" applyNumberFormat="1" applyFont="1" applyFill="1" applyBorder="1"/>
    <xf numFmtId="0" fontId="7" fillId="7" borderId="30" xfId="0" applyFont="1" applyFill="1" applyBorder="1"/>
    <xf numFmtId="0" fontId="7" fillId="3" borderId="1" xfId="0" applyFont="1" applyFill="1" applyBorder="1" applyAlignment="1">
      <alignment horizontal="right"/>
    </xf>
    <xf numFmtId="0" fontId="5" fillId="3" borderId="41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14" fontId="5" fillId="4" borderId="47" xfId="0" applyNumberFormat="1" applyFont="1" applyFill="1" applyBorder="1" applyAlignment="1">
      <alignment horizontal="center"/>
    </xf>
    <xf numFmtId="164" fontId="7" fillId="5" borderId="41" xfId="0" applyNumberFormat="1" applyFont="1" applyFill="1" applyBorder="1" applyAlignment="1">
      <alignment horizontal="center"/>
    </xf>
    <xf numFmtId="164" fontId="7" fillId="5" borderId="41" xfId="0" applyNumberFormat="1" applyFont="1" applyFill="1" applyBorder="1" applyAlignment="1">
      <alignment horizontal="center" wrapText="1"/>
    </xf>
    <xf numFmtId="164" fontId="7" fillId="6" borderId="41" xfId="0" applyNumberFormat="1" applyFont="1" applyFill="1" applyBorder="1" applyAlignment="1">
      <alignment horizontal="center"/>
    </xf>
    <xf numFmtId="164" fontId="5" fillId="4" borderId="41" xfId="0" applyNumberFormat="1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164" fontId="5" fillId="5" borderId="41" xfId="0" applyNumberFormat="1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164" fontId="5" fillId="2" borderId="41" xfId="0" applyNumberFormat="1" applyFont="1" applyFill="1" applyBorder="1" applyAlignment="1">
      <alignment horizontal="center"/>
    </xf>
    <xf numFmtId="0" fontId="7" fillId="4" borderId="41" xfId="0" applyFont="1" applyFill="1" applyBorder="1" applyAlignment="1">
      <alignment horizontal="center"/>
    </xf>
    <xf numFmtId="164" fontId="5" fillId="6" borderId="41" xfId="0" applyNumberFormat="1" applyFont="1" applyFill="1" applyBorder="1" applyAlignment="1">
      <alignment horizontal="center"/>
    </xf>
    <xf numFmtId="43" fontId="7" fillId="6" borderId="41" xfId="0" applyNumberFormat="1" applyFont="1" applyFill="1" applyBorder="1" applyAlignment="1">
      <alignment horizontal="center"/>
    </xf>
    <xf numFmtId="14" fontId="5" fillId="4" borderId="49" xfId="0" applyNumberFormat="1" applyFont="1" applyFill="1" applyBorder="1" applyAlignment="1">
      <alignment horizontal="center"/>
    </xf>
    <xf numFmtId="164" fontId="7" fillId="4" borderId="41" xfId="0" applyNumberFormat="1" applyFont="1" applyFill="1" applyBorder="1" applyAlignment="1">
      <alignment horizontal="center"/>
    </xf>
    <xf numFmtId="168" fontId="5" fillId="5" borderId="41" xfId="0" applyNumberFormat="1" applyFont="1" applyFill="1" applyBorder="1" applyAlignment="1">
      <alignment horizontal="center"/>
    </xf>
    <xf numFmtId="168" fontId="5" fillId="6" borderId="41" xfId="0" applyNumberFormat="1" applyFont="1" applyFill="1" applyBorder="1" applyAlignment="1">
      <alignment horizontal="center"/>
    </xf>
    <xf numFmtId="43" fontId="5" fillId="6" borderId="41" xfId="0" applyNumberFormat="1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14" fontId="5" fillId="4" borderId="50" xfId="0" applyNumberFormat="1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171" fontId="7" fillId="6" borderId="41" xfId="0" applyNumberFormat="1" applyFont="1" applyFill="1" applyBorder="1" applyAlignment="1">
      <alignment horizontal="center"/>
    </xf>
    <xf numFmtId="171" fontId="7" fillId="5" borderId="41" xfId="0" applyNumberFormat="1" applyFont="1" applyFill="1" applyBorder="1" applyAlignment="1">
      <alignment horizontal="center"/>
    </xf>
    <xf numFmtId="168" fontId="8" fillId="11" borderId="30" xfId="0" applyNumberFormat="1" applyFont="1" applyFill="1" applyBorder="1"/>
    <xf numFmtId="0" fontId="5" fillId="4" borderId="30" xfId="0" applyFont="1" applyFill="1" applyBorder="1" applyAlignment="1">
      <alignment horizontal="right"/>
    </xf>
    <xf numFmtId="168" fontId="5" fillId="13" borderId="30" xfId="0" applyNumberFormat="1" applyFont="1" applyFill="1" applyBorder="1"/>
    <xf numFmtId="168" fontId="5" fillId="12" borderId="30" xfId="0" applyNumberFormat="1" applyFont="1" applyFill="1" applyBorder="1"/>
    <xf numFmtId="1" fontId="3" fillId="4" borderId="0" xfId="1" applyNumberFormat="1" applyFont="1" applyFill="1" applyAlignment="1">
      <alignment horizontal="center"/>
    </xf>
    <xf numFmtId="169" fontId="8" fillId="4" borderId="30" xfId="0" applyNumberFormat="1" applyFont="1" applyFill="1" applyBorder="1"/>
    <xf numFmtId="15" fontId="5" fillId="5" borderId="30" xfId="0" applyNumberFormat="1" applyFont="1" applyFill="1" applyBorder="1"/>
    <xf numFmtId="15" fontId="5" fillId="5" borderId="17" xfId="0" applyNumberFormat="1" applyFont="1" applyFill="1" applyBorder="1"/>
    <xf numFmtId="0" fontId="5" fillId="3" borderId="30" xfId="0" applyFont="1" applyFill="1" applyBorder="1"/>
    <xf numFmtId="0" fontId="5" fillId="3" borderId="34" xfId="0" applyFont="1" applyFill="1" applyBorder="1"/>
    <xf numFmtId="0" fontId="5" fillId="4" borderId="34" xfId="0" applyFont="1" applyFill="1" applyBorder="1"/>
    <xf numFmtId="9" fontId="5" fillId="4" borderId="32" xfId="0" applyNumberFormat="1" applyFont="1" applyFill="1" applyBorder="1"/>
    <xf numFmtId="0" fontId="5" fillId="4" borderId="36" xfId="0" applyFont="1" applyFill="1" applyBorder="1"/>
    <xf numFmtId="9" fontId="5" fillId="5" borderId="32" xfId="0" applyNumberFormat="1" applyFont="1" applyFill="1" applyBorder="1"/>
    <xf numFmtId="15" fontId="5" fillId="5" borderId="31" xfId="0" applyNumberFormat="1" applyFont="1" applyFill="1" applyBorder="1"/>
    <xf numFmtId="0" fontId="5" fillId="4" borderId="45" xfId="0" applyFont="1" applyFill="1" applyBorder="1"/>
    <xf numFmtId="0" fontId="5" fillId="4" borderId="46" xfId="0" applyFont="1" applyFill="1" applyBorder="1"/>
    <xf numFmtId="9" fontId="5" fillId="5" borderId="27" xfId="0" applyNumberFormat="1" applyFont="1" applyFill="1" applyBorder="1"/>
    <xf numFmtId="9" fontId="5" fillId="5" borderId="21" xfId="0" applyNumberFormat="1" applyFont="1" applyFill="1" applyBorder="1"/>
    <xf numFmtId="0" fontId="5" fillId="5" borderId="30" xfId="0" applyFont="1" applyFill="1" applyBorder="1"/>
    <xf numFmtId="0" fontId="5" fillId="5" borderId="17" xfId="0" applyFont="1" applyFill="1" applyBorder="1"/>
    <xf numFmtId="15" fontId="5" fillId="4" borderId="30" xfId="0" applyNumberFormat="1" applyFont="1" applyFill="1" applyBorder="1"/>
    <xf numFmtId="0" fontId="5" fillId="4" borderId="17" xfId="0" applyFont="1" applyFill="1" applyBorder="1"/>
    <xf numFmtId="0" fontId="5" fillId="4" borderId="31" xfId="0" applyFont="1" applyFill="1" applyBorder="1"/>
    <xf numFmtId="3" fontId="12" fillId="14" borderId="0" xfId="1" applyNumberFormat="1" applyFont="1" applyFill="1"/>
    <xf numFmtId="3" fontId="3" fillId="14" borderId="0" xfId="1" applyNumberFormat="1" applyFont="1" applyFill="1"/>
    <xf numFmtId="3" fontId="3" fillId="4" borderId="0" xfId="1" applyNumberFormat="1" applyFont="1" applyFill="1"/>
    <xf numFmtId="3" fontId="14" fillId="14" borderId="0" xfId="1" applyNumberFormat="1" applyFont="1" applyFill="1"/>
    <xf numFmtId="3" fontId="10" fillId="11" borderId="1" xfId="1" applyNumberFormat="1" applyFont="1" applyFill="1" applyBorder="1"/>
    <xf numFmtId="3" fontId="8" fillId="11" borderId="1" xfId="1" applyNumberFormat="1" applyFont="1" applyFill="1" applyBorder="1"/>
    <xf numFmtId="3" fontId="8" fillId="4" borderId="0" xfId="1" applyNumberFormat="1" applyFont="1" applyFill="1" applyAlignment="1">
      <alignment horizontal="center" vertical="center"/>
    </xf>
    <xf numFmtId="3" fontId="8" fillId="4" borderId="0" xfId="1" applyNumberFormat="1" applyFont="1" applyFill="1" applyAlignment="1">
      <alignment horizontal="center"/>
    </xf>
    <xf numFmtId="3" fontId="8" fillId="4" borderId="0" xfId="1" applyNumberFormat="1" applyFont="1" applyFill="1"/>
    <xf numFmtId="3" fontId="13" fillId="4" borderId="0" xfId="1" applyNumberFormat="1" applyFont="1" applyFill="1"/>
    <xf numFmtId="3" fontId="13" fillId="4" borderId="0" xfId="1" applyNumberFormat="1" applyFont="1" applyFill="1" applyAlignment="1">
      <alignment horizontal="center"/>
    </xf>
    <xf numFmtId="172" fontId="3" fillId="4" borderId="0" xfId="1" applyNumberFormat="1" applyFont="1" applyFill="1"/>
    <xf numFmtId="172" fontId="8" fillId="4" borderId="0" xfId="1" applyNumberFormat="1" applyFont="1" applyFill="1"/>
    <xf numFmtId="9" fontId="8" fillId="10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7" fillId="4" borderId="0" xfId="0" applyFont="1" applyFill="1"/>
    <xf numFmtId="0" fontId="8" fillId="9" borderId="1" xfId="0" applyFont="1" applyFill="1" applyBorder="1" applyAlignment="1">
      <alignment horizontal="center"/>
    </xf>
    <xf numFmtId="0" fontId="10" fillId="17" borderId="8" xfId="0" applyFont="1" applyFill="1" applyBorder="1"/>
    <xf numFmtId="0" fontId="3" fillId="4" borderId="41" xfId="0" applyFont="1" applyFill="1" applyBorder="1"/>
    <xf numFmtId="0" fontId="3" fillId="4" borderId="42" xfId="0" applyFont="1" applyFill="1" applyBorder="1"/>
    <xf numFmtId="164" fontId="8" fillId="11" borderId="51" xfId="0" applyNumberFormat="1" applyFont="1" applyFill="1" applyBorder="1" applyAlignment="1">
      <alignment horizontal="center"/>
    </xf>
    <xf numFmtId="165" fontId="8" fillId="11" borderId="51" xfId="0" applyNumberFormat="1" applyFont="1" applyFill="1" applyBorder="1" applyAlignment="1">
      <alignment horizontal="center" vertical="center"/>
    </xf>
    <xf numFmtId="164" fontId="8" fillId="12" borderId="51" xfId="0" applyNumberFormat="1" applyFont="1" applyFill="1" applyBorder="1" applyAlignment="1">
      <alignment horizontal="center"/>
    </xf>
    <xf numFmtId="0" fontId="8" fillId="11" borderId="51" xfId="0" applyFont="1" applyFill="1" applyBorder="1" applyAlignment="1">
      <alignment horizontal="center"/>
    </xf>
    <xf numFmtId="164" fontId="8" fillId="4" borderId="51" xfId="0" applyNumberFormat="1" applyFont="1" applyFill="1" applyBorder="1" applyAlignment="1">
      <alignment horizontal="center"/>
    </xf>
    <xf numFmtId="166" fontId="8" fillId="12" borderId="51" xfId="0" applyNumberFormat="1" applyFont="1" applyFill="1" applyBorder="1" applyAlignment="1">
      <alignment horizontal="center"/>
    </xf>
    <xf numFmtId="167" fontId="8" fillId="4" borderId="51" xfId="0" applyNumberFormat="1" applyFont="1" applyFill="1" applyBorder="1" applyAlignment="1">
      <alignment horizontal="center"/>
    </xf>
    <xf numFmtId="43" fontId="8" fillId="11" borderId="51" xfId="0" applyNumberFormat="1" applyFont="1" applyFill="1" applyBorder="1" applyAlignment="1">
      <alignment horizontal="center"/>
    </xf>
    <xf numFmtId="0" fontId="8" fillId="4" borderId="51" xfId="0" applyFont="1" applyFill="1" applyBorder="1" applyAlignment="1">
      <alignment horizontal="center"/>
    </xf>
    <xf numFmtId="166" fontId="8" fillId="4" borderId="51" xfId="0" applyNumberFormat="1" applyFont="1" applyFill="1" applyBorder="1" applyAlignment="1">
      <alignment horizontal="center"/>
    </xf>
    <xf numFmtId="0" fontId="3" fillId="4" borderId="50" xfId="0" applyFont="1" applyFill="1" applyBorder="1"/>
    <xf numFmtId="43" fontId="8" fillId="11" borderId="52" xfId="0" applyNumberFormat="1" applyFont="1" applyFill="1" applyBorder="1" applyAlignment="1">
      <alignment horizontal="center"/>
    </xf>
    <xf numFmtId="165" fontId="8" fillId="11" borderId="52" xfId="0" applyNumberFormat="1" applyFont="1" applyFill="1" applyBorder="1" applyAlignment="1">
      <alignment horizontal="center" vertical="center"/>
    </xf>
    <xf numFmtId="164" fontId="8" fillId="12" borderId="52" xfId="0" applyNumberFormat="1" applyFont="1" applyFill="1" applyBorder="1" applyAlignment="1">
      <alignment horizontal="center"/>
    </xf>
    <xf numFmtId="0" fontId="8" fillId="4" borderId="52" xfId="0" applyFont="1" applyFill="1" applyBorder="1" applyAlignment="1">
      <alignment horizontal="center"/>
    </xf>
    <xf numFmtId="164" fontId="8" fillId="4" borderId="52" xfId="0" applyNumberFormat="1" applyFont="1" applyFill="1" applyBorder="1" applyAlignment="1">
      <alignment horizontal="center"/>
    </xf>
    <xf numFmtId="166" fontId="8" fillId="4" borderId="52" xfId="0" applyNumberFormat="1" applyFont="1" applyFill="1" applyBorder="1" applyAlignment="1">
      <alignment horizontal="center"/>
    </xf>
    <xf numFmtId="167" fontId="8" fillId="4" borderId="52" xfId="0" applyNumberFormat="1" applyFont="1" applyFill="1" applyBorder="1" applyAlignment="1">
      <alignment horizontal="center"/>
    </xf>
    <xf numFmtId="164" fontId="8" fillId="11" borderId="52" xfId="0" applyNumberFormat="1" applyFont="1" applyFill="1" applyBorder="1" applyAlignment="1">
      <alignment horizontal="center"/>
    </xf>
    <xf numFmtId="0" fontId="8" fillId="11" borderId="52" xfId="0" applyFont="1" applyFill="1" applyBorder="1" applyAlignment="1">
      <alignment horizontal="center"/>
    </xf>
    <xf numFmtId="166" fontId="8" fillId="12" borderId="52" xfId="0" applyNumberFormat="1" applyFont="1" applyFill="1" applyBorder="1" applyAlignment="1">
      <alignment horizontal="center"/>
    </xf>
    <xf numFmtId="0" fontId="3" fillId="18" borderId="49" xfId="0" applyFont="1" applyFill="1" applyBorder="1"/>
    <xf numFmtId="0" fontId="15" fillId="19" borderId="0" xfId="0" applyFont="1" applyFill="1" applyAlignment="1">
      <alignment horizontal="center"/>
    </xf>
    <xf numFmtId="0" fontId="16" fillId="19" borderId="0" xfId="0" applyFont="1" applyFill="1" applyAlignment="1">
      <alignment horizontal="left"/>
    </xf>
    <xf numFmtId="0" fontId="15" fillId="19" borderId="0" xfId="0" applyFont="1" applyFill="1" applyAlignment="1">
      <alignment horizontal="left"/>
    </xf>
    <xf numFmtId="167" fontId="19" fillId="20" borderId="30" xfId="0" applyNumberFormat="1" applyFont="1" applyFill="1" applyBorder="1" applyAlignment="1">
      <alignment horizontal="center"/>
    </xf>
    <xf numFmtId="0" fontId="8" fillId="4" borderId="53" xfId="0" applyFont="1" applyFill="1" applyBorder="1"/>
    <xf numFmtId="1" fontId="8" fillId="4" borderId="51" xfId="1" applyNumberFormat="1" applyFont="1" applyFill="1" applyBorder="1" applyAlignment="1">
      <alignment horizontal="center"/>
    </xf>
    <xf numFmtId="0" fontId="10" fillId="9" borderId="30" xfId="0" applyFont="1" applyFill="1" applyBorder="1"/>
    <xf numFmtId="0" fontId="10" fillId="9" borderId="30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7" fontId="5" fillId="4" borderId="30" xfId="0" applyNumberFormat="1" applyFont="1" applyFill="1" applyBorder="1"/>
    <xf numFmtId="0" fontId="5" fillId="4" borderId="54" xfId="0" applyFont="1" applyFill="1" applyBorder="1"/>
    <xf numFmtId="167" fontId="5" fillId="6" borderId="31" xfId="0" applyNumberFormat="1" applyFont="1" applyFill="1" applyBorder="1"/>
    <xf numFmtId="0" fontId="20" fillId="3" borderId="30" xfId="0" applyFont="1" applyFill="1" applyBorder="1"/>
    <xf numFmtId="3" fontId="8" fillId="21" borderId="0" xfId="1" applyNumberFormat="1" applyFont="1" applyFill="1" applyAlignment="1">
      <alignment horizontal="center" vertical="center"/>
    </xf>
    <xf numFmtId="3" fontId="3" fillId="21" borderId="0" xfId="1" applyNumberFormat="1" applyFont="1" applyFill="1"/>
    <xf numFmtId="3" fontId="8" fillId="11" borderId="30" xfId="1" applyNumberFormat="1" applyFont="1" applyFill="1" applyBorder="1" applyAlignment="1">
      <alignment horizontal="center"/>
    </xf>
    <xf numFmtId="3" fontId="3" fillId="4" borderId="30" xfId="1" applyNumberFormat="1" applyFont="1" applyFill="1" applyBorder="1"/>
    <xf numFmtId="3" fontId="8" fillId="4" borderId="30" xfId="1" applyNumberFormat="1" applyFont="1" applyFill="1" applyBorder="1"/>
    <xf numFmtId="3" fontId="8" fillId="4" borderId="30" xfId="1" applyNumberFormat="1" applyFont="1" applyFill="1" applyBorder="1" applyAlignment="1">
      <alignment horizontal="center"/>
    </xf>
    <xf numFmtId="3" fontId="8" fillId="11" borderId="30" xfId="1" applyNumberFormat="1" applyFont="1" applyFill="1" applyBorder="1" applyAlignment="1">
      <alignment horizontal="left"/>
    </xf>
    <xf numFmtId="3" fontId="8" fillId="23" borderId="30" xfId="1" applyNumberFormat="1" applyFont="1" applyFill="1" applyBorder="1" applyAlignment="1">
      <alignment horizontal="center"/>
    </xf>
    <xf numFmtId="3" fontId="2" fillId="4" borderId="52" xfId="1" applyNumberFormat="1" applyFont="1" applyFill="1" applyBorder="1"/>
    <xf numFmtId="3" fontId="3" fillId="4" borderId="52" xfId="1" applyNumberFormat="1" applyFont="1" applyFill="1" applyBorder="1" applyAlignment="1">
      <alignment horizontal="center"/>
    </xf>
    <xf numFmtId="3" fontId="8" fillId="11" borderId="52" xfId="1" applyNumberFormat="1" applyFont="1" applyFill="1" applyBorder="1" applyAlignment="1">
      <alignment horizontal="center"/>
    </xf>
    <xf numFmtId="172" fontId="3" fillId="4" borderId="52" xfId="1" applyNumberFormat="1" applyFont="1" applyFill="1" applyBorder="1" applyAlignment="1">
      <alignment horizontal="center"/>
    </xf>
    <xf numFmtId="173" fontId="3" fillId="4" borderId="52" xfId="1" applyNumberFormat="1" applyFont="1" applyFill="1" applyBorder="1" applyAlignment="1">
      <alignment horizontal="center"/>
    </xf>
    <xf numFmtId="173" fontId="8" fillId="4" borderId="52" xfId="1" applyNumberFormat="1" applyFont="1" applyFill="1" applyBorder="1" applyAlignment="1">
      <alignment horizontal="center"/>
    </xf>
    <xf numFmtId="172" fontId="1" fillId="4" borderId="52" xfId="1" applyNumberFormat="1" applyFont="1" applyFill="1" applyBorder="1"/>
    <xf numFmtId="173" fontId="3" fillId="4" borderId="45" xfId="1" applyNumberFormat="1" applyFont="1" applyFill="1" applyBorder="1" applyAlignment="1">
      <alignment horizontal="center"/>
    </xf>
    <xf numFmtId="173" fontId="8" fillId="4" borderId="45" xfId="1" applyNumberFormat="1" applyFont="1" applyFill="1" applyBorder="1" applyAlignment="1">
      <alignment horizontal="center"/>
    </xf>
    <xf numFmtId="3" fontId="21" fillId="24" borderId="55" xfId="1" applyNumberFormat="1" applyFont="1" applyFill="1" applyBorder="1" applyAlignment="1">
      <alignment horizontal="center"/>
    </xf>
    <xf numFmtId="173" fontId="21" fillId="25" borderId="55" xfId="1" applyNumberFormat="1" applyFont="1" applyFill="1" applyBorder="1" applyAlignment="1">
      <alignment horizontal="center"/>
    </xf>
    <xf numFmtId="173" fontId="21" fillId="26" borderId="55" xfId="1" applyNumberFormat="1" applyFont="1" applyFill="1" applyBorder="1" applyAlignment="1">
      <alignment horizontal="center"/>
    </xf>
    <xf numFmtId="3" fontId="3" fillId="4" borderId="45" xfId="1" applyNumberFormat="1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8" fillId="4" borderId="30" xfId="0" applyFont="1" applyFill="1" applyBorder="1"/>
    <xf numFmtId="0" fontId="8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wrapText="1"/>
    </xf>
    <xf numFmtId="0" fontId="8" fillId="3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wrapText="1"/>
    </xf>
    <xf numFmtId="0" fontId="8" fillId="16" borderId="5" xfId="0" applyFont="1" applyFill="1" applyBorder="1" applyAlignment="1">
      <alignment horizontal="center"/>
    </xf>
    <xf numFmtId="0" fontId="18" fillId="14" borderId="0" xfId="0" applyFont="1" applyFill="1" applyAlignment="1">
      <alignment horizontal="center" vertical="center"/>
    </xf>
    <xf numFmtId="3" fontId="8" fillId="11" borderId="4" xfId="1" applyNumberFormat="1" applyFont="1" applyFill="1" applyBorder="1" applyAlignment="1">
      <alignment horizontal="center" wrapText="1"/>
    </xf>
    <xf numFmtId="3" fontId="8" fillId="4" borderId="30" xfId="1" applyNumberFormat="1" applyFont="1" applyFill="1" applyBorder="1"/>
    <xf numFmtId="3" fontId="8" fillId="22" borderId="2" xfId="1" applyNumberFormat="1" applyFont="1" applyFill="1" applyBorder="1" applyAlignment="1">
      <alignment horizontal="center"/>
    </xf>
    <xf numFmtId="3" fontId="8" fillId="21" borderId="20" xfId="1" applyNumberFormat="1" applyFont="1" applyFill="1" applyBorder="1"/>
    <xf numFmtId="3" fontId="8" fillId="21" borderId="3" xfId="1" applyNumberFormat="1" applyFont="1" applyFill="1" applyBorder="1"/>
    <xf numFmtId="3" fontId="8" fillId="22" borderId="2" xfId="1" applyNumberFormat="1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3" fillId="4" borderId="0" xfId="0" applyFont="1" applyFill="1"/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25" xfId="0" applyFont="1" applyFill="1" applyBorder="1" applyAlignment="1">
      <alignment horizontal="center" wrapText="1"/>
    </xf>
    <xf numFmtId="0" fontId="6" fillId="4" borderId="26" xfId="0" applyFont="1" applyFill="1" applyBorder="1" applyAlignment="1">
      <alignment horizontal="center" wrapText="1"/>
    </xf>
    <xf numFmtId="0" fontId="8" fillId="4" borderId="11" xfId="0" applyFont="1" applyFill="1" applyBorder="1"/>
    <xf numFmtId="0" fontId="7" fillId="8" borderId="30" xfId="0" applyFont="1" applyFill="1" applyBorder="1" applyAlignment="1">
      <alignment horizontal="center"/>
    </xf>
    <xf numFmtId="164" fontId="5" fillId="5" borderId="28" xfId="0" applyNumberFormat="1" applyFont="1" applyFill="1" applyBorder="1" applyAlignment="1">
      <alignment horizontal="center"/>
    </xf>
    <xf numFmtId="0" fontId="8" fillId="4" borderId="29" xfId="0" applyFont="1" applyFill="1" applyBorder="1"/>
    <xf numFmtId="0" fontId="7" fillId="4" borderId="0" xfId="0" applyFont="1" applyFill="1" applyAlignment="1">
      <alignment horizontal="center" wrapText="1"/>
    </xf>
    <xf numFmtId="0" fontId="5" fillId="3" borderId="44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wrapText="1"/>
    </xf>
    <xf numFmtId="0" fontId="3" fillId="4" borderId="30" xfId="0" applyFont="1" applyFill="1" applyBorder="1"/>
    <xf numFmtId="0" fontId="5" fillId="4" borderId="15" xfId="0" applyFont="1" applyFill="1" applyBorder="1" applyAlignment="1">
      <alignment horizontal="center"/>
    </xf>
    <xf numFmtId="164" fontId="7" fillId="6" borderId="41" xfId="0" applyNumberFormat="1" applyFont="1" applyFill="1" applyBorder="1" applyAlignment="1"/>
    <xf numFmtId="164" fontId="7" fillId="5" borderId="41" xfId="0" applyNumberFormat="1" applyFont="1" applyFill="1" applyBorder="1" applyAlignment="1"/>
    <xf numFmtId="0" fontId="5" fillId="4" borderId="41" xfId="0" applyFont="1" applyFill="1" applyBorder="1" applyAlignment="1"/>
    <xf numFmtId="0" fontId="7" fillId="4" borderId="41" xfId="0" applyFont="1" applyFill="1" applyBorder="1" applyAlignment="1"/>
    <xf numFmtId="164" fontId="7" fillId="4" borderId="41" xfId="0" applyNumberFormat="1" applyFont="1" applyFill="1" applyBorder="1" applyAlignment="1"/>
    <xf numFmtId="171" fontId="7" fillId="6" borderId="41" xfId="0" applyNumberFormat="1" applyFont="1" applyFill="1" applyBorder="1" applyAlignment="1"/>
    <xf numFmtId="2" fontId="7" fillId="4" borderId="4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2</xdr:row>
      <xdr:rowOff>123825</xdr:rowOff>
    </xdr:from>
    <xdr:ext cx="1524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28575</xdr:rowOff>
    </xdr:from>
    <xdr:ext cx="9525" cy="47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</xdr:row>
      <xdr:rowOff>123825</xdr:rowOff>
    </xdr:from>
    <xdr:ext cx="152400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28575</xdr:rowOff>
    </xdr:from>
    <xdr:ext cx="9525" cy="476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184150</xdr:colOff>
      <xdr:row>10</xdr:row>
      <xdr:rowOff>57150</xdr:rowOff>
    </xdr:from>
    <xdr:to>
      <xdr:col>5</xdr:col>
      <xdr:colOff>196850</xdr:colOff>
      <xdr:row>10</xdr:row>
      <xdr:rowOff>95250</xdr:rowOff>
    </xdr:to>
    <xdr:pic>
      <xdr:nvPicPr>
        <xdr:cNvPr id="2049" name="image2.png">
          <a:extLst>
            <a:ext uri="{FF2B5EF4-FFF2-40B4-BE49-F238E27FC236}">
              <a16:creationId xmlns:a16="http://schemas.microsoft.com/office/drawing/2014/main" id="{833650C4-5FAF-7429-7272-4BE60F57EE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2197100"/>
          <a:ext cx="127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5</xdr:col>
      <xdr:colOff>184150</xdr:colOff>
      <xdr:row>10</xdr:row>
      <xdr:rowOff>57150</xdr:rowOff>
    </xdr:from>
    <xdr:to>
      <xdr:col>5</xdr:col>
      <xdr:colOff>196850</xdr:colOff>
      <xdr:row>10</xdr:row>
      <xdr:rowOff>95250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65CFE658-EC15-535F-8EDE-A677C4F5FEA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2197100"/>
          <a:ext cx="127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5</xdr:col>
      <xdr:colOff>184150</xdr:colOff>
      <xdr:row>10</xdr:row>
      <xdr:rowOff>57150</xdr:rowOff>
    </xdr:from>
    <xdr:to>
      <xdr:col>5</xdr:col>
      <xdr:colOff>196850</xdr:colOff>
      <xdr:row>10</xdr:row>
      <xdr:rowOff>95250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38596867-0E93-214D-142C-9D22242A4B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2197100"/>
          <a:ext cx="127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2</xdr:row>
      <xdr:rowOff>123825</xdr:rowOff>
    </xdr:from>
    <xdr:ext cx="1524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28575</xdr:rowOff>
    </xdr:from>
    <xdr:ext cx="9525" cy="47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</xdr:row>
      <xdr:rowOff>123825</xdr:rowOff>
    </xdr:from>
    <xdr:ext cx="152400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28575</xdr:rowOff>
    </xdr:from>
    <xdr:ext cx="9525" cy="476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2</xdr:row>
      <xdr:rowOff>123825</xdr:rowOff>
    </xdr:from>
    <xdr:ext cx="1524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</xdr:row>
      <xdr:rowOff>123825</xdr:rowOff>
    </xdr:from>
    <xdr:ext cx="152400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6" name="image2.png">
          <a:extLst>
            <a:ext uri="{FF2B5EF4-FFF2-40B4-BE49-F238E27FC236}">
              <a16:creationId xmlns:a16="http://schemas.microsoft.com/office/drawing/2014/main" id="{470D3257-AE03-461F-824A-9CE7DB84E6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8117" y="2062416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7" name="image2.png">
          <a:extLst>
            <a:ext uri="{FF2B5EF4-FFF2-40B4-BE49-F238E27FC236}">
              <a16:creationId xmlns:a16="http://schemas.microsoft.com/office/drawing/2014/main" id="{9B28450A-0AE0-4E33-9C64-1FC3A7843FB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8117" y="2062416"/>
          <a:ext cx="9525" cy="47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177800</xdr:colOff>
      <xdr:row>9</xdr:row>
      <xdr:rowOff>174947</xdr:rowOff>
    </xdr:from>
    <xdr:to>
      <xdr:col>4</xdr:col>
      <xdr:colOff>184150</xdr:colOff>
      <xdr:row>10</xdr:row>
      <xdr:rowOff>28897</xdr:rowOff>
    </xdr:to>
    <xdr:pic>
      <xdr:nvPicPr>
        <xdr:cNvPr id="8" name="image2.png">
          <a:extLst>
            <a:ext uri="{FF2B5EF4-FFF2-40B4-BE49-F238E27FC236}">
              <a16:creationId xmlns:a16="http://schemas.microsoft.com/office/drawing/2014/main" id="{8C7BCA44-741D-3DC4-756F-B6F4EA663AE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0626" y="2015527"/>
          <a:ext cx="6350" cy="47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3</xdr:col>
      <xdr:colOff>177800</xdr:colOff>
      <xdr:row>9</xdr:row>
      <xdr:rowOff>184150</xdr:rowOff>
    </xdr:from>
    <xdr:to>
      <xdr:col>3</xdr:col>
      <xdr:colOff>184150</xdr:colOff>
      <xdr:row>10</xdr:row>
      <xdr:rowOff>38100</xdr:rowOff>
    </xdr:to>
    <xdr:pic>
      <xdr:nvPicPr>
        <xdr:cNvPr id="4097" name="image2.png">
          <a:extLst>
            <a:ext uri="{FF2B5EF4-FFF2-40B4-BE49-F238E27FC236}">
              <a16:creationId xmlns:a16="http://schemas.microsoft.com/office/drawing/2014/main" id="{3BEE6A18-2859-5DDB-F718-7753C215476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2057400"/>
          <a:ext cx="635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2</xdr:row>
      <xdr:rowOff>123825</xdr:rowOff>
    </xdr:from>
    <xdr:ext cx="1524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28575</xdr:rowOff>
    </xdr:from>
    <xdr:ext cx="9525" cy="47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</xdr:row>
      <xdr:rowOff>123825</xdr:rowOff>
    </xdr:from>
    <xdr:ext cx="152400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28575</xdr:rowOff>
    </xdr:from>
    <xdr:ext cx="9525" cy="476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2</xdr:row>
      <xdr:rowOff>123825</xdr:rowOff>
    </xdr:from>
    <xdr:ext cx="1524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</xdr:row>
      <xdr:rowOff>123825</xdr:rowOff>
    </xdr:from>
    <xdr:ext cx="152400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0" name="image2.png">
          <a:extLst>
            <a:ext uri="{FF2B5EF4-FFF2-40B4-BE49-F238E27FC236}">
              <a16:creationId xmlns:a16="http://schemas.microsoft.com/office/drawing/2014/main" id="{2F7845D8-FACB-4B56-83F1-A13D5C829E1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5332" y="2125746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1" name="image2.png">
          <a:extLst>
            <a:ext uri="{FF2B5EF4-FFF2-40B4-BE49-F238E27FC236}">
              <a16:creationId xmlns:a16="http://schemas.microsoft.com/office/drawing/2014/main" id="{409EA7A2-3B05-414F-9194-C0675EE5832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5332" y="2125746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2" name="image2.png">
          <a:extLst>
            <a:ext uri="{FF2B5EF4-FFF2-40B4-BE49-F238E27FC236}">
              <a16:creationId xmlns:a16="http://schemas.microsoft.com/office/drawing/2014/main" id="{A3ADDD7F-6A08-4F7B-B81B-2698323EDC6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5332" y="2125746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3" name="image2.png">
          <a:extLst>
            <a:ext uri="{FF2B5EF4-FFF2-40B4-BE49-F238E27FC236}">
              <a16:creationId xmlns:a16="http://schemas.microsoft.com/office/drawing/2014/main" id="{EB733EB7-FF72-45DA-B7B6-B06060F1AA8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5332" y="2125746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4" name="image2.png">
          <a:extLst>
            <a:ext uri="{FF2B5EF4-FFF2-40B4-BE49-F238E27FC236}">
              <a16:creationId xmlns:a16="http://schemas.microsoft.com/office/drawing/2014/main" id="{7CC73871-4F05-4DF2-B2BF-4D3EFB36542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5332" y="2125746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5" name="image2.png">
          <a:extLst>
            <a:ext uri="{FF2B5EF4-FFF2-40B4-BE49-F238E27FC236}">
              <a16:creationId xmlns:a16="http://schemas.microsoft.com/office/drawing/2014/main" id="{2B3A70E3-A0CD-406A-8207-B5F9B5E17AC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5332" y="2125746"/>
          <a:ext cx="9525" cy="47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171450</xdr:colOff>
      <xdr:row>10</xdr:row>
      <xdr:rowOff>46790</xdr:rowOff>
    </xdr:from>
    <xdr:to>
      <xdr:col>4</xdr:col>
      <xdr:colOff>184150</xdr:colOff>
      <xdr:row>10</xdr:row>
      <xdr:rowOff>97590</xdr:rowOff>
    </xdr:to>
    <xdr:pic>
      <xdr:nvPicPr>
        <xdr:cNvPr id="16" name="image2.png">
          <a:extLst>
            <a:ext uri="{FF2B5EF4-FFF2-40B4-BE49-F238E27FC236}">
              <a16:creationId xmlns:a16="http://schemas.microsoft.com/office/drawing/2014/main" id="{49BBDB7B-6DCF-A4DD-A227-29AFB928668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0595" y="2143961"/>
          <a:ext cx="127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3</xdr:col>
      <xdr:colOff>171450</xdr:colOff>
      <xdr:row>10</xdr:row>
      <xdr:rowOff>63500</xdr:rowOff>
    </xdr:from>
    <xdr:to>
      <xdr:col>3</xdr:col>
      <xdr:colOff>184150</xdr:colOff>
      <xdr:row>10</xdr:row>
      <xdr:rowOff>114300</xdr:rowOff>
    </xdr:to>
    <xdr:pic>
      <xdr:nvPicPr>
        <xdr:cNvPr id="6145" name="image2.png">
          <a:extLst>
            <a:ext uri="{FF2B5EF4-FFF2-40B4-BE49-F238E27FC236}">
              <a16:creationId xmlns:a16="http://schemas.microsoft.com/office/drawing/2014/main" id="{8191EE2B-48B4-8B30-7DCB-7DC0F8BA15B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0" y="2127250"/>
          <a:ext cx="127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647700</xdr:colOff>
      <xdr:row>2</xdr:row>
      <xdr:rowOff>123825</xdr:rowOff>
    </xdr:from>
    <xdr:ext cx="1524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</xdr:row>
      <xdr:rowOff>123825</xdr:rowOff>
    </xdr:from>
    <xdr:ext cx="152400" cy="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10</xdr:row>
      <xdr:rowOff>28575</xdr:rowOff>
    </xdr:from>
    <xdr:ext cx="9525" cy="47625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1" name="image2.png">
          <a:extLst>
            <a:ext uri="{FF2B5EF4-FFF2-40B4-BE49-F238E27FC236}">
              <a16:creationId xmlns:a16="http://schemas.microsoft.com/office/drawing/2014/main" id="{A57EBAF4-7A3A-49B8-91A8-3285010EBD0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2396" y="2062291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2" name="image2.png">
          <a:extLst>
            <a:ext uri="{FF2B5EF4-FFF2-40B4-BE49-F238E27FC236}">
              <a16:creationId xmlns:a16="http://schemas.microsoft.com/office/drawing/2014/main" id="{1908EBDA-DD36-4260-B4B9-875F929CC91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2396" y="2062291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3" name="image2.png">
          <a:extLst>
            <a:ext uri="{FF2B5EF4-FFF2-40B4-BE49-F238E27FC236}">
              <a16:creationId xmlns:a16="http://schemas.microsoft.com/office/drawing/2014/main" id="{1D012492-4251-4D27-B87F-D227968D354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2396" y="2062291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4" name="image2.png">
          <a:extLst>
            <a:ext uri="{FF2B5EF4-FFF2-40B4-BE49-F238E27FC236}">
              <a16:creationId xmlns:a16="http://schemas.microsoft.com/office/drawing/2014/main" id="{2BFF6775-476C-4C57-BC5B-F1A734FAFFD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2396" y="2062291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5" name="image2.png">
          <a:extLst>
            <a:ext uri="{FF2B5EF4-FFF2-40B4-BE49-F238E27FC236}">
              <a16:creationId xmlns:a16="http://schemas.microsoft.com/office/drawing/2014/main" id="{1DBF48A6-AD94-4600-AB8D-31A2F10BC17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2396" y="2062291"/>
          <a:ext cx="9525" cy="47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10</xdr:row>
      <xdr:rowOff>28575</xdr:rowOff>
    </xdr:from>
    <xdr:ext cx="9525" cy="47625"/>
    <xdr:pic>
      <xdr:nvPicPr>
        <xdr:cNvPr id="16" name="image2.png">
          <a:extLst>
            <a:ext uri="{FF2B5EF4-FFF2-40B4-BE49-F238E27FC236}">
              <a16:creationId xmlns:a16="http://schemas.microsoft.com/office/drawing/2014/main" id="{1B4275D8-DFD4-4EAB-B3AE-121ADDC104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52396" y="2062291"/>
          <a:ext cx="9525" cy="47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171450</xdr:colOff>
      <xdr:row>10</xdr:row>
      <xdr:rowOff>16819</xdr:rowOff>
    </xdr:from>
    <xdr:to>
      <xdr:col>4</xdr:col>
      <xdr:colOff>177800</xdr:colOff>
      <xdr:row>10</xdr:row>
      <xdr:rowOff>67619</xdr:rowOff>
    </xdr:to>
    <xdr:pic>
      <xdr:nvPicPr>
        <xdr:cNvPr id="17" name="image2.png">
          <a:extLst>
            <a:ext uri="{FF2B5EF4-FFF2-40B4-BE49-F238E27FC236}">
              <a16:creationId xmlns:a16="http://schemas.microsoft.com/office/drawing/2014/main" id="{1EC02ED6-A083-7DB6-340B-804A9CC2DB3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0369" y="2050535"/>
          <a:ext cx="635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3</xdr:col>
      <xdr:colOff>171450</xdr:colOff>
      <xdr:row>10</xdr:row>
      <xdr:rowOff>25400</xdr:rowOff>
    </xdr:from>
    <xdr:to>
      <xdr:col>3</xdr:col>
      <xdr:colOff>177800</xdr:colOff>
      <xdr:row>10</xdr:row>
      <xdr:rowOff>76200</xdr:rowOff>
    </xdr:to>
    <xdr:pic>
      <xdr:nvPicPr>
        <xdr:cNvPr id="7170" name="image2.png">
          <a:extLst>
            <a:ext uri="{FF2B5EF4-FFF2-40B4-BE49-F238E27FC236}">
              <a16:creationId xmlns:a16="http://schemas.microsoft.com/office/drawing/2014/main" id="{878170AA-E2E8-EABC-690C-1A4890292D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0" y="2057400"/>
          <a:ext cx="635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6"/>
  <sheetViews>
    <sheetView showGridLines="0" zoomScale="72" workbookViewId="0">
      <selection activeCell="C31" sqref="C31:D31"/>
    </sheetView>
  </sheetViews>
  <sheetFormatPr defaultColWidth="14.453125" defaultRowHeight="15" customHeight="1"/>
  <cols>
    <col min="1" max="1" width="14.54296875" style="48" customWidth="1"/>
    <col min="2" max="6" width="12.54296875" style="48" customWidth="1"/>
    <col min="7" max="7" width="14.26953125" style="48" customWidth="1"/>
    <col min="8" max="12" width="12.54296875" style="48" customWidth="1"/>
    <col min="13" max="13" width="14.08984375" style="48" customWidth="1"/>
    <col min="14" max="14" width="17.90625" style="48" customWidth="1"/>
    <col min="15" max="15" width="17.54296875" style="48" customWidth="1"/>
    <col min="16" max="16" width="15.54296875" style="48" customWidth="1"/>
    <col min="17" max="22" width="8.6328125" style="48" customWidth="1"/>
    <col min="23" max="23" width="13.54296875" style="48" bestFit="1" customWidth="1"/>
    <col min="24" max="26" width="8.6328125" style="48" customWidth="1"/>
    <col min="27" max="16384" width="14.453125" style="48"/>
  </cols>
  <sheetData>
    <row r="1" spans="1:24" ht="14.25" customHeight="1">
      <c r="A1" s="252" t="s">
        <v>167</v>
      </c>
      <c r="B1" s="252"/>
      <c r="C1" s="252"/>
      <c r="D1" s="252"/>
    </row>
    <row r="2" spans="1:24" ht="14.25" customHeight="1">
      <c r="A2" s="252"/>
      <c r="B2" s="252"/>
      <c r="C2" s="252"/>
      <c r="D2" s="252"/>
      <c r="G2" s="203" t="s">
        <v>0</v>
      </c>
      <c r="H2" s="203">
        <f>_xlfn.IFS(W2=G2,X2,G2=W3,X3,G2=W4,X4)</f>
        <v>1</v>
      </c>
      <c r="W2" s="177" t="s">
        <v>0</v>
      </c>
      <c r="X2" s="177">
        <v>1</v>
      </c>
    </row>
    <row r="3" spans="1:24" ht="14.25" customHeight="1">
      <c r="W3" s="177" t="s">
        <v>1</v>
      </c>
      <c r="X3" s="177">
        <v>2</v>
      </c>
    </row>
    <row r="4" spans="1:24" ht="14.25" customHeight="1">
      <c r="A4" s="180"/>
      <c r="B4" s="178"/>
      <c r="C4" s="246" t="s">
        <v>2</v>
      </c>
      <c r="D4" s="247"/>
      <c r="E4" s="246" t="s">
        <v>143</v>
      </c>
      <c r="F4" s="247"/>
      <c r="G4" s="250" t="s">
        <v>3</v>
      </c>
      <c r="H4" s="248" t="s">
        <v>4</v>
      </c>
      <c r="I4" s="250" t="s">
        <v>5</v>
      </c>
      <c r="J4" s="250" t="s">
        <v>6</v>
      </c>
      <c r="K4" s="248" t="s">
        <v>7</v>
      </c>
      <c r="L4" s="246" t="s">
        <v>144</v>
      </c>
      <c r="M4" s="247"/>
      <c r="N4" s="248" t="s">
        <v>8</v>
      </c>
      <c r="O4" s="246" t="s">
        <v>145</v>
      </c>
      <c r="P4" s="247"/>
      <c r="W4" s="177" t="s">
        <v>9</v>
      </c>
      <c r="X4" s="177">
        <v>3</v>
      </c>
    </row>
    <row r="5" spans="1:24" ht="14.25" customHeight="1">
      <c r="A5" s="180"/>
      <c r="B5" s="178" t="s">
        <v>10</v>
      </c>
      <c r="C5" s="178" t="s">
        <v>11</v>
      </c>
      <c r="D5" s="178" t="s">
        <v>12</v>
      </c>
      <c r="E5" s="178" t="s">
        <v>11</v>
      </c>
      <c r="F5" s="178" t="s">
        <v>12</v>
      </c>
      <c r="G5" s="251"/>
      <c r="H5" s="249"/>
      <c r="I5" s="251"/>
      <c r="J5" s="251"/>
      <c r="K5" s="249"/>
      <c r="L5" s="178" t="s">
        <v>11</v>
      </c>
      <c r="M5" s="178" t="s">
        <v>12</v>
      </c>
      <c r="N5" s="249"/>
      <c r="O5" s="178" t="s">
        <v>11</v>
      </c>
      <c r="P5" s="178" t="s">
        <v>12</v>
      </c>
    </row>
    <row r="6" spans="1:24" ht="14.25" customHeight="1">
      <c r="A6" s="180"/>
      <c r="B6" s="176"/>
      <c r="C6" s="174">
        <v>0.1</v>
      </c>
      <c r="D6" s="174">
        <v>0.1</v>
      </c>
      <c r="E6" s="176"/>
      <c r="F6" s="176"/>
      <c r="G6" s="68"/>
      <c r="H6" s="68"/>
      <c r="I6" s="68"/>
      <c r="J6" s="68"/>
      <c r="K6" s="68"/>
      <c r="L6" s="176"/>
      <c r="M6" s="176"/>
      <c r="N6" s="68"/>
      <c r="O6" s="176"/>
      <c r="P6" s="176"/>
    </row>
    <row r="7" spans="1:24" ht="14.25" customHeight="1">
      <c r="A7" s="192" t="s">
        <v>13</v>
      </c>
      <c r="B7" s="200">
        <f>B52</f>
        <v>17470</v>
      </c>
      <c r="C7" s="194">
        <f ca="1">CHOOSE($H$2,Output!$H$20,Output!$H$21,Output!$H$22)*(1-'Valuation '!C6)</f>
        <v>11.540021711614147</v>
      </c>
      <c r="D7" s="194">
        <f ca="1">CHOOSE($H$2,Output!$H$20,Output!$H$21,Output!$H$22)*(1+'Valuation '!D6)</f>
        <v>14.104470980861734</v>
      </c>
      <c r="E7" s="195">
        <f ca="1">$B7*C7</f>
        <v>201604.17930189913</v>
      </c>
      <c r="F7" s="195">
        <f ca="1">$B7*D7</f>
        <v>246405.1080356545</v>
      </c>
      <c r="G7" s="201">
        <v>0</v>
      </c>
      <c r="H7" s="201">
        <f>AMGEN!$E$24</f>
        <v>64613</v>
      </c>
      <c r="I7" s="201">
        <f>AMGEN!$E$28</f>
        <v>810</v>
      </c>
      <c r="J7" s="201">
        <f>AMGEN!$E$29</f>
        <v>10944</v>
      </c>
      <c r="K7" s="201">
        <f>AMGEN!$C$31</f>
        <v>4460</v>
      </c>
      <c r="L7" s="197">
        <f t="shared" ref="L7:M9" ca="1" si="0">E7-$G7-$H7-$I7+$J7+$K7</f>
        <v>151585.17930189913</v>
      </c>
      <c r="M7" s="197">
        <f t="shared" ca="1" si="0"/>
        <v>196386.1080356545</v>
      </c>
      <c r="N7" s="202">
        <f>AMGEN!$C$17</f>
        <v>539.07583604996159</v>
      </c>
      <c r="O7" s="199">
        <f ca="1">L7/$N7</f>
        <v>281.194535471351</v>
      </c>
      <c r="P7" s="199">
        <f ca="1">M7/$N7</f>
        <v>364.30144870647371</v>
      </c>
    </row>
    <row r="8" spans="1:24" ht="14.25" customHeight="1">
      <c r="A8" s="181" t="s">
        <v>14</v>
      </c>
      <c r="B8" s="182">
        <f>C52</f>
        <v>19805</v>
      </c>
      <c r="C8" s="183">
        <f ca="1">CHOOSE($H$2,Output!$M$20,Output!$M$21,Output!$M$22)*(1-'Valuation '!C6)</f>
        <v>11.859720399617006</v>
      </c>
      <c r="D8" s="183">
        <f ca="1">CHOOSE($H$2,Output!$M$20,Output!$M$21,Output!$M$22)*(1+'Valuation '!D6)</f>
        <v>14.495213821754119</v>
      </c>
      <c r="E8" s="184">
        <f t="shared" ref="E8:E9" ca="1" si="1">$B8*C8</f>
        <v>234881.76251441479</v>
      </c>
      <c r="F8" s="184">
        <f t="shared" ref="F8:F9" ca="1" si="2">$B8*D8</f>
        <v>287077.7097398403</v>
      </c>
      <c r="G8" s="185">
        <v>0</v>
      </c>
      <c r="H8" s="185">
        <f>AMGEN!$E$24</f>
        <v>64613</v>
      </c>
      <c r="I8" s="185">
        <f>AMGEN!$E$28</f>
        <v>810</v>
      </c>
      <c r="J8" s="185">
        <f>AMGEN!$E$29</f>
        <v>10944</v>
      </c>
      <c r="K8" s="185">
        <f>AMGEN!$C$31</f>
        <v>4460</v>
      </c>
      <c r="L8" s="186">
        <f t="shared" ca="1" si="0"/>
        <v>184862.76251441479</v>
      </c>
      <c r="M8" s="186">
        <f t="shared" ca="1" si="0"/>
        <v>237058.7097398403</v>
      </c>
      <c r="N8" s="187">
        <f>AMGEN!$C$17</f>
        <v>539.07583604996159</v>
      </c>
      <c r="O8" s="188">
        <f t="shared" ref="O8" ca="1" si="3">L8/$N8</f>
        <v>342.92533657042213</v>
      </c>
      <c r="P8" s="188">
        <f t="shared" ref="P8" ca="1" si="4">M8/$N8</f>
        <v>439.75020560533841</v>
      </c>
    </row>
    <row r="9" spans="1:24" ht="14.25" customHeight="1">
      <c r="A9" s="181" t="s">
        <v>15</v>
      </c>
      <c r="B9" s="182">
        <f>D52</f>
        <v>20730</v>
      </c>
      <c r="C9" s="183">
        <f ca="1">CHOOSE($H$2,Output!$R$20,Output!$R$21,Output!$R$22)*(1-'Valuation '!C6)</f>
        <v>9.7924419320097904</v>
      </c>
      <c r="D9" s="183">
        <f ca="1">CHOOSE($H$2,Output!$R$20,Output!$R$21,Output!$R$22)*(1+'Valuation '!D6)</f>
        <v>11.968540139123077</v>
      </c>
      <c r="E9" s="184">
        <f t="shared" ca="1" si="1"/>
        <v>202997.32125056296</v>
      </c>
      <c r="F9" s="184">
        <f t="shared" ca="1" si="2"/>
        <v>248107.83708402139</v>
      </c>
      <c r="G9" s="185">
        <v>0</v>
      </c>
      <c r="H9" s="185">
        <f>AMGEN!$E$24</f>
        <v>64613</v>
      </c>
      <c r="I9" s="185">
        <f>AMGEN!$E$28</f>
        <v>810</v>
      </c>
      <c r="J9" s="185">
        <f>AMGEN!$E$29</f>
        <v>10944</v>
      </c>
      <c r="K9" s="185">
        <f>AMGEN!$C$31</f>
        <v>4460</v>
      </c>
      <c r="L9" s="186">
        <f t="shared" ca="1" si="0"/>
        <v>152978.32125056296</v>
      </c>
      <c r="M9" s="186">
        <f t="shared" ca="1" si="0"/>
        <v>198088.83708402139</v>
      </c>
      <c r="N9" s="187">
        <f>AMGEN!$C$17</f>
        <v>539.07583604996159</v>
      </c>
      <c r="O9" s="188">
        <f ca="1">L9/$N9</f>
        <v>283.77885080418429</v>
      </c>
      <c r="P9" s="188">
        <f ca="1">M9/$N9</f>
        <v>367.46005633549208</v>
      </c>
    </row>
    <row r="10" spans="1:24" ht="14.25" customHeight="1">
      <c r="A10" s="180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</row>
    <row r="11" spans="1:24" ht="14.25" customHeight="1">
      <c r="A11" s="180"/>
      <c r="B11" s="176"/>
      <c r="C11" s="176"/>
      <c r="D11" s="176"/>
      <c r="E11" s="176"/>
      <c r="F11" s="176"/>
      <c r="G11" s="176"/>
      <c r="H11" s="176"/>
      <c r="I11" s="176"/>
      <c r="J11" s="176"/>
      <c r="K11" s="205"/>
      <c r="L11" s="206" t="s">
        <v>146</v>
      </c>
      <c r="M11" s="206"/>
      <c r="N11" s="206"/>
      <c r="O11" s="207">
        <f ca="1">MEDIAN(O7:O9)</f>
        <v>283.77885080418429</v>
      </c>
      <c r="P11" s="207">
        <f ca="1">MEDIAN(P7:P9)</f>
        <v>367.46005633549208</v>
      </c>
    </row>
    <row r="12" spans="1:24" ht="14.25" customHeight="1">
      <c r="A12" s="180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</row>
    <row r="13" spans="1:24" ht="14.25" customHeight="1">
      <c r="A13" s="180"/>
      <c r="B13" s="178"/>
      <c r="C13" s="246" t="s">
        <v>2</v>
      </c>
      <c r="D13" s="247"/>
      <c r="E13" s="246" t="s">
        <v>143</v>
      </c>
      <c r="F13" s="247"/>
      <c r="G13" s="250" t="s">
        <v>3</v>
      </c>
      <c r="H13" s="248" t="s">
        <v>4</v>
      </c>
      <c r="I13" s="250" t="s">
        <v>5</v>
      </c>
      <c r="J13" s="250" t="s">
        <v>6</v>
      </c>
      <c r="K13" s="248" t="s">
        <v>7</v>
      </c>
      <c r="L13" s="246" t="s">
        <v>144</v>
      </c>
      <c r="M13" s="247"/>
      <c r="N13" s="248" t="s">
        <v>8</v>
      </c>
      <c r="O13" s="246" t="s">
        <v>145</v>
      </c>
      <c r="P13" s="247"/>
    </row>
    <row r="14" spans="1:24" ht="14.25" customHeight="1">
      <c r="A14" s="180"/>
      <c r="B14" s="178" t="s">
        <v>10</v>
      </c>
      <c r="C14" s="178" t="s">
        <v>11</v>
      </c>
      <c r="D14" s="178" t="s">
        <v>12</v>
      </c>
      <c r="E14" s="178" t="s">
        <v>11</v>
      </c>
      <c r="F14" s="178" t="s">
        <v>12</v>
      </c>
      <c r="G14" s="251"/>
      <c r="H14" s="249"/>
      <c r="I14" s="251"/>
      <c r="J14" s="251"/>
      <c r="K14" s="249"/>
      <c r="L14" s="178" t="s">
        <v>11</v>
      </c>
      <c r="M14" s="178" t="s">
        <v>12</v>
      </c>
      <c r="N14" s="249"/>
      <c r="O14" s="178" t="s">
        <v>11</v>
      </c>
      <c r="P14" s="178" t="s">
        <v>12</v>
      </c>
    </row>
    <row r="15" spans="1:24" ht="14.25" customHeight="1">
      <c r="A15" s="180"/>
      <c r="B15" s="176"/>
      <c r="C15" s="174">
        <v>0.1</v>
      </c>
      <c r="D15" s="174">
        <v>0.1</v>
      </c>
      <c r="E15" s="176"/>
      <c r="F15" s="176"/>
      <c r="G15" s="68"/>
      <c r="H15" s="68"/>
      <c r="I15" s="68"/>
      <c r="J15" s="68"/>
      <c r="K15" s="68"/>
      <c r="L15" s="176"/>
      <c r="M15" s="176"/>
      <c r="N15" s="68"/>
      <c r="O15" s="176"/>
      <c r="P15" s="176"/>
    </row>
    <row r="16" spans="1:24" ht="14.25" customHeight="1">
      <c r="A16" s="192" t="s">
        <v>16</v>
      </c>
      <c r="B16" s="200">
        <f>B53</f>
        <v>13399</v>
      </c>
      <c r="C16" s="194">
        <f ca="1">CHOOSE($H$2,Output!$I$20,Output!$I$21,Output!$I$22)*(1-'Valuation '!C15)</f>
        <v>14.672036983564993</v>
      </c>
      <c r="D16" s="194">
        <f ca="1">CHOOSE($H$2,Output!$I$20,Output!$I$21,Output!$I$22)*(1+'Valuation '!D15)</f>
        <v>17.932489646579437</v>
      </c>
      <c r="E16" s="195">
        <f ca="1">$B16*C16</f>
        <v>196590.62354278733</v>
      </c>
      <c r="F16" s="195">
        <f ca="1">$B16*D16</f>
        <v>240277.42877451787</v>
      </c>
      <c r="G16" s="201">
        <v>0</v>
      </c>
      <c r="H16" s="201">
        <f>AMGEN!$E$24</f>
        <v>64613</v>
      </c>
      <c r="I16" s="201">
        <f>AMGEN!$E$28</f>
        <v>810</v>
      </c>
      <c r="J16" s="201">
        <f>AMGEN!$E$29</f>
        <v>10944</v>
      </c>
      <c r="K16" s="201">
        <f>AMGEN!$C$31</f>
        <v>4460</v>
      </c>
      <c r="L16" s="197">
        <f t="shared" ref="L16:M18" ca="1" si="5">E16-$G16-$H16-$I16+$J16+$K16</f>
        <v>146571.62354278733</v>
      </c>
      <c r="M16" s="197">
        <f t="shared" ca="1" si="5"/>
        <v>190258.42877451787</v>
      </c>
      <c r="N16" s="202">
        <f>AMGEN!$C$17</f>
        <v>539.07583604996159</v>
      </c>
      <c r="O16" s="199">
        <f ca="1">L16/$N16</f>
        <v>271.89425631981595</v>
      </c>
      <c r="P16" s="199">
        <f ca="1">M16/$N16</f>
        <v>352.93444085459748</v>
      </c>
    </row>
    <row r="17" spans="1:16" ht="14.25" customHeight="1">
      <c r="A17" s="181" t="s">
        <v>17</v>
      </c>
      <c r="B17" s="182">
        <f>C53</f>
        <v>14495</v>
      </c>
      <c r="C17" s="183">
        <f ca="1">CHOOSE($H$2,Output!$N$20,Output!$N$21,Output!$N$22)*(1-'Valuation '!C15)</f>
        <v>12.270945101406777</v>
      </c>
      <c r="D17" s="183">
        <f ca="1">CHOOSE($H$2,Output!$N$20,Output!$N$21,Output!$N$22)*(1+'Valuation '!D15)</f>
        <v>14.997821790608285</v>
      </c>
      <c r="E17" s="184">
        <f ca="1">$B17*C17</f>
        <v>177867.34924489123</v>
      </c>
      <c r="F17" s="184">
        <f ca="1">$B17*D17</f>
        <v>217393.42685486708</v>
      </c>
      <c r="G17" s="185">
        <v>0</v>
      </c>
      <c r="H17" s="185">
        <f>AMGEN!$E$24</f>
        <v>64613</v>
      </c>
      <c r="I17" s="185">
        <f>AMGEN!$E$28</f>
        <v>810</v>
      </c>
      <c r="J17" s="185">
        <f>AMGEN!$E$29</f>
        <v>10944</v>
      </c>
      <c r="K17" s="185">
        <f>AMGEN!$C$31</f>
        <v>4460</v>
      </c>
      <c r="L17" s="186">
        <f t="shared" ca="1" si="5"/>
        <v>127848.34924489123</v>
      </c>
      <c r="M17" s="186">
        <f t="shared" ca="1" si="5"/>
        <v>167374.42685486708</v>
      </c>
      <c r="N17" s="187">
        <f>AMGEN!$C$17</f>
        <v>539.07583604996159</v>
      </c>
      <c r="O17" s="188">
        <f t="shared" ref="O17" ca="1" si="6">L17/$N17</f>
        <v>237.16208498917439</v>
      </c>
      <c r="P17" s="188">
        <f t="shared" ref="P17" ca="1" si="7">M17/$N17</f>
        <v>310.48400922825783</v>
      </c>
    </row>
    <row r="18" spans="1:16" ht="14.25" customHeight="1">
      <c r="A18" s="181" t="s">
        <v>18</v>
      </c>
      <c r="B18" s="182">
        <f>D53</f>
        <v>15667</v>
      </c>
      <c r="C18" s="183">
        <f ca="1">CHOOSE($H$2,Output!$S$20,Output!$S$21,Output!$S$22)*(1-'Valuation '!C15)</f>
        <v>10.820437438846037</v>
      </c>
      <c r="D18" s="183">
        <f ca="1">CHOOSE($H$2,Output!$S$20,Output!$S$21,Output!$S$22)*(1+'Valuation '!D15)</f>
        <v>13.224979091922936</v>
      </c>
      <c r="E18" s="184">
        <f t="shared" ref="E18" ca="1" si="8">$B18*C18</f>
        <v>169523.79335440087</v>
      </c>
      <c r="F18" s="184">
        <f t="shared" ref="F18" ca="1" si="9">$B18*D18</f>
        <v>207195.74743315665</v>
      </c>
      <c r="G18" s="185">
        <v>0</v>
      </c>
      <c r="H18" s="185">
        <f>AMGEN!$E$24</f>
        <v>64613</v>
      </c>
      <c r="I18" s="185">
        <f>AMGEN!$E$28</f>
        <v>810</v>
      </c>
      <c r="J18" s="185">
        <f>AMGEN!$E$29</f>
        <v>10944</v>
      </c>
      <c r="K18" s="185">
        <f>AMGEN!$C$31</f>
        <v>4460</v>
      </c>
      <c r="L18" s="186">
        <f t="shared" ca="1" si="5"/>
        <v>119504.79335440087</v>
      </c>
      <c r="M18" s="186">
        <f t="shared" ca="1" si="5"/>
        <v>157176.74743315665</v>
      </c>
      <c r="N18" s="187">
        <f>AMGEN!$C$17</f>
        <v>539.07583604996159</v>
      </c>
      <c r="O18" s="188">
        <f ca="1">L18/$N18</f>
        <v>221.68456711037805</v>
      </c>
      <c r="P18" s="188">
        <f ca="1">M18/$N18</f>
        <v>291.56704293195122</v>
      </c>
    </row>
    <row r="19" spans="1:16" ht="14.25" customHeight="1">
      <c r="A19" s="180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</row>
    <row r="20" spans="1:16" ht="14.25" customHeight="1">
      <c r="A20" s="180"/>
      <c r="B20" s="176"/>
      <c r="C20" s="176"/>
      <c r="D20" s="176"/>
      <c r="E20" s="176"/>
      <c r="F20" s="176"/>
      <c r="G20" s="176"/>
      <c r="H20" s="176"/>
      <c r="I20" s="176"/>
      <c r="J20" s="176"/>
      <c r="K20" s="205"/>
      <c r="L20" s="206" t="s">
        <v>146</v>
      </c>
      <c r="M20" s="206"/>
      <c r="N20" s="206"/>
      <c r="O20" s="207">
        <f ca="1">MEDIAN(O16:O18)</f>
        <v>237.16208498917439</v>
      </c>
      <c r="P20" s="207">
        <f ca="1">MEDIAN(P16:P18)</f>
        <v>310.48400922825783</v>
      </c>
    </row>
    <row r="21" spans="1:16" ht="14.25" customHeight="1">
      <c r="A21" s="180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</row>
    <row r="22" spans="1:16" ht="14.25" customHeight="1">
      <c r="A22" s="180"/>
      <c r="B22" s="178"/>
      <c r="C22" s="246" t="s">
        <v>2</v>
      </c>
      <c r="D22" s="247"/>
      <c r="E22" s="246" t="s">
        <v>143</v>
      </c>
      <c r="F22" s="247"/>
      <c r="G22" s="250" t="s">
        <v>3</v>
      </c>
      <c r="H22" s="248" t="s">
        <v>4</v>
      </c>
      <c r="I22" s="250" t="s">
        <v>5</v>
      </c>
      <c r="J22" s="250" t="s">
        <v>6</v>
      </c>
      <c r="K22" s="248" t="s">
        <v>7</v>
      </c>
      <c r="L22" s="246" t="s">
        <v>144</v>
      </c>
      <c r="M22" s="247"/>
      <c r="N22" s="248" t="s">
        <v>8</v>
      </c>
      <c r="O22" s="246" t="s">
        <v>145</v>
      </c>
      <c r="P22" s="247"/>
    </row>
    <row r="23" spans="1:16" ht="14.25" customHeight="1">
      <c r="A23" s="180"/>
      <c r="B23" s="178" t="s">
        <v>10</v>
      </c>
      <c r="C23" s="178" t="s">
        <v>11</v>
      </c>
      <c r="D23" s="178" t="s">
        <v>12</v>
      </c>
      <c r="E23" s="178" t="s">
        <v>11</v>
      </c>
      <c r="F23" s="178" t="s">
        <v>12</v>
      </c>
      <c r="G23" s="251"/>
      <c r="H23" s="249"/>
      <c r="I23" s="251"/>
      <c r="J23" s="251"/>
      <c r="K23" s="249"/>
      <c r="L23" s="178" t="s">
        <v>11</v>
      </c>
      <c r="M23" s="178" t="s">
        <v>12</v>
      </c>
      <c r="N23" s="249"/>
      <c r="O23" s="178" t="s">
        <v>11</v>
      </c>
      <c r="P23" s="178" t="s">
        <v>12</v>
      </c>
    </row>
    <row r="24" spans="1:16" ht="14.25" customHeight="1">
      <c r="A24" s="180"/>
      <c r="B24" s="176"/>
      <c r="C24" s="174">
        <v>0.1</v>
      </c>
      <c r="D24" s="174">
        <v>0.1</v>
      </c>
      <c r="E24" s="176"/>
      <c r="F24" s="176"/>
      <c r="G24" s="68"/>
      <c r="H24" s="68"/>
      <c r="I24" s="68"/>
      <c r="J24" s="68"/>
      <c r="K24" s="68"/>
      <c r="L24" s="176"/>
      <c r="M24" s="176"/>
      <c r="N24" s="68"/>
      <c r="O24" s="176"/>
      <c r="P24" s="176"/>
    </row>
    <row r="25" spans="1:16" ht="14.25" customHeight="1">
      <c r="A25" s="192" t="s">
        <v>19</v>
      </c>
      <c r="B25" s="200">
        <f>B51</f>
        <v>28190</v>
      </c>
      <c r="C25" s="194">
        <f ca="1">CHOOSE($H$2,Output!$G$20,Output!$G$21,Output!$G$22)*(1-'Valuation '!C24)</f>
        <v>3.8053673816742801</v>
      </c>
      <c r="D25" s="194">
        <f ca="1">CHOOSE($H$2,Output!$G$20,Output!$G$21,Output!$G$22)*(1+'Valuation '!D24)</f>
        <v>4.6510045776018982</v>
      </c>
      <c r="E25" s="195">
        <f ca="1">$B25*C25</f>
        <v>107273.30648939796</v>
      </c>
      <c r="F25" s="195">
        <f ca="1">$B25*D25</f>
        <v>131111.81904259752</v>
      </c>
      <c r="G25" s="201">
        <v>0</v>
      </c>
      <c r="H25" s="201">
        <f>AMGEN!$E$24</f>
        <v>64613</v>
      </c>
      <c r="I25" s="201">
        <f>AMGEN!$E$28</f>
        <v>810</v>
      </c>
      <c r="J25" s="201">
        <f>AMGEN!$E$29</f>
        <v>10944</v>
      </c>
      <c r="K25" s="201">
        <f>AMGEN!$C$31</f>
        <v>4460</v>
      </c>
      <c r="L25" s="197">
        <f t="shared" ref="L25:M27" ca="1" si="10">E25-$G25-$H25-$I25+$J25+$K25</f>
        <v>57254.306489397961</v>
      </c>
      <c r="M25" s="197">
        <f t="shared" ca="1" si="10"/>
        <v>81092.819042597519</v>
      </c>
      <c r="N25" s="202">
        <f>AMGEN!$C$17</f>
        <v>539.07583604996159</v>
      </c>
      <c r="O25" s="199">
        <f t="shared" ref="O25:P27" ca="1" si="11">L25/$N25</f>
        <v>106.20825987847029</v>
      </c>
      <c r="P25" s="199">
        <f t="shared" ca="1" si="11"/>
        <v>150.42933409295279</v>
      </c>
    </row>
    <row r="26" spans="1:16" ht="14.25" customHeight="1">
      <c r="A26" s="181" t="s">
        <v>20</v>
      </c>
      <c r="B26" s="182">
        <f>C51</f>
        <v>32139</v>
      </c>
      <c r="C26" s="183">
        <f ca="1">CHOOSE($H$2,Output!$L$20,Output!$L$21,Output!$L$22)*(1-'Valuation '!C24)</f>
        <v>3.6663492878671313</v>
      </c>
      <c r="D26" s="183">
        <f ca="1">CHOOSE($H$2,Output!$L$20,Output!$L$21,Output!$L$22)*(1+'Valuation '!D24)</f>
        <v>4.4810935740598277</v>
      </c>
      <c r="E26" s="184">
        <f ca="1">$B26*C26</f>
        <v>117832.79976276173</v>
      </c>
      <c r="F26" s="184">
        <f ca="1">$B26*D26</f>
        <v>144017.86637670881</v>
      </c>
      <c r="G26" s="185">
        <v>0</v>
      </c>
      <c r="H26" s="185">
        <f>AMGEN!$E$24</f>
        <v>64613</v>
      </c>
      <c r="I26" s="185">
        <f>AMGEN!$E$28</f>
        <v>810</v>
      </c>
      <c r="J26" s="185">
        <f>AMGEN!$E$29</f>
        <v>10944</v>
      </c>
      <c r="K26" s="185">
        <f>AMGEN!$C$31</f>
        <v>4460</v>
      </c>
      <c r="L26" s="186">
        <f t="shared" ca="1" si="10"/>
        <v>67813.79976276173</v>
      </c>
      <c r="M26" s="186">
        <f t="shared" ca="1" si="10"/>
        <v>93998.866376708815</v>
      </c>
      <c r="N26" s="187">
        <f>AMGEN!$C$17</f>
        <v>539.07583604996159</v>
      </c>
      <c r="O26" s="188">
        <f t="shared" ca="1" si="11"/>
        <v>125.79640048358009</v>
      </c>
      <c r="P26" s="188">
        <f t="shared" ca="1" si="11"/>
        <v>174.37039483253147</v>
      </c>
    </row>
    <row r="27" spans="1:16" ht="14.25" customHeight="1">
      <c r="A27" s="181" t="s">
        <v>21</v>
      </c>
      <c r="B27" s="182">
        <f>D51</f>
        <v>34034</v>
      </c>
      <c r="C27" s="183">
        <f ca="1">CHOOSE($H$2,Output!$Q$20,Output!$Q$21,Output!$Q$22)*(1-'Valuation '!C24)</f>
        <v>3.5680530356407516</v>
      </c>
      <c r="D27" s="183">
        <f ca="1">CHOOSE($H$2,Output!$Q$20,Output!$Q$21,Output!$Q$22)*(1+'Valuation '!D24)</f>
        <v>4.3609537102275855</v>
      </c>
      <c r="E27" s="184">
        <f t="shared" ref="E27" ca="1" si="12">$B27*C27</f>
        <v>121435.11701499733</v>
      </c>
      <c r="F27" s="184">
        <f t="shared" ref="F27" ca="1" si="13">$B27*D27</f>
        <v>148420.69857388563</v>
      </c>
      <c r="G27" s="185">
        <v>0</v>
      </c>
      <c r="H27" s="185">
        <f>AMGEN!$E$24</f>
        <v>64613</v>
      </c>
      <c r="I27" s="185">
        <f>AMGEN!$E$28</f>
        <v>810</v>
      </c>
      <c r="J27" s="185">
        <f>AMGEN!$E$29</f>
        <v>10944</v>
      </c>
      <c r="K27" s="185">
        <f>AMGEN!$C$31</f>
        <v>4460</v>
      </c>
      <c r="L27" s="186">
        <f t="shared" ca="1" si="10"/>
        <v>71416.117014997333</v>
      </c>
      <c r="M27" s="186">
        <f t="shared" ca="1" si="10"/>
        <v>98401.698573885631</v>
      </c>
      <c r="N27" s="187">
        <f>AMGEN!$C$17</f>
        <v>539.07583604996159</v>
      </c>
      <c r="O27" s="188">
        <f t="shared" ca="1" si="11"/>
        <v>132.47879470594279</v>
      </c>
      <c r="P27" s="188">
        <f t="shared" ca="1" si="11"/>
        <v>182.5377655487525</v>
      </c>
    </row>
    <row r="28" spans="1:16" ht="14.25" customHeight="1">
      <c r="A28" s="180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</row>
    <row r="29" spans="1:16" ht="14.25" customHeight="1">
      <c r="A29" s="180"/>
      <c r="B29" s="176"/>
      <c r="C29" s="176"/>
      <c r="D29" s="176"/>
      <c r="E29" s="176"/>
      <c r="F29" s="176"/>
      <c r="G29" s="176"/>
      <c r="H29" s="176"/>
      <c r="I29" s="176"/>
      <c r="J29" s="176"/>
      <c r="K29" s="205"/>
      <c r="L29" s="206" t="s">
        <v>146</v>
      </c>
      <c r="M29" s="206"/>
      <c r="N29" s="206"/>
      <c r="O29" s="207">
        <f ca="1">MEDIAN(O25:O27)</f>
        <v>125.79640048358009</v>
      </c>
      <c r="P29" s="207">
        <f ca="1">MEDIAN(P25:P27)</f>
        <v>174.37039483253147</v>
      </c>
    </row>
    <row r="30" spans="1:16" ht="14.25" customHeight="1">
      <c r="A30" s="180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</row>
    <row r="31" spans="1:16" ht="14.25" customHeight="1">
      <c r="A31" s="180"/>
      <c r="B31" s="178"/>
      <c r="C31" s="246" t="s">
        <v>2</v>
      </c>
      <c r="D31" s="247"/>
      <c r="E31" s="241"/>
      <c r="F31" s="242"/>
      <c r="G31" s="243"/>
      <c r="H31" s="243"/>
      <c r="I31" s="243"/>
      <c r="J31" s="243"/>
      <c r="K31" s="243"/>
      <c r="L31" s="241"/>
      <c r="M31" s="242"/>
      <c r="N31" s="243"/>
      <c r="O31" s="244" t="s">
        <v>145</v>
      </c>
      <c r="P31" s="245"/>
    </row>
    <row r="32" spans="1:16" ht="14.25" customHeight="1">
      <c r="A32" s="180"/>
      <c r="B32" s="178" t="s">
        <v>10</v>
      </c>
      <c r="C32" s="178" t="s">
        <v>11</v>
      </c>
      <c r="D32" s="178" t="s">
        <v>12</v>
      </c>
      <c r="E32" s="176"/>
      <c r="F32" s="176"/>
      <c r="G32" s="242"/>
      <c r="H32" s="242"/>
      <c r="I32" s="242"/>
      <c r="J32" s="242"/>
      <c r="K32" s="242"/>
      <c r="L32" s="176"/>
      <c r="M32" s="176"/>
      <c r="N32" s="242"/>
      <c r="O32" s="175" t="s">
        <v>11</v>
      </c>
      <c r="P32" s="175" t="s">
        <v>12</v>
      </c>
    </row>
    <row r="33" spans="1:16" ht="14.25" customHeight="1">
      <c r="A33" s="180"/>
      <c r="B33" s="176"/>
      <c r="C33" s="174">
        <v>0.1</v>
      </c>
      <c r="D33" s="174">
        <v>0.1</v>
      </c>
      <c r="E33" s="176"/>
      <c r="F33" s="176"/>
      <c r="G33" s="68"/>
      <c r="H33" s="68"/>
      <c r="I33" s="68"/>
      <c r="J33" s="68"/>
      <c r="K33" s="68"/>
      <c r="L33" s="176"/>
      <c r="M33" s="176"/>
      <c r="N33" s="68"/>
      <c r="O33" s="176"/>
      <c r="P33" s="176"/>
    </row>
    <row r="34" spans="1:16" ht="14.25" customHeight="1">
      <c r="A34" s="192" t="s">
        <v>22</v>
      </c>
      <c r="B34" s="193">
        <f>AMGEN!L75/'Valuation '!C45</f>
        <v>17.400149241953152</v>
      </c>
      <c r="C34" s="194">
        <f ca="1">CHOOSE($H$2,Output!$O$20,Output!$O$21,Output!$O$22)*(1-'Valuation '!C33)</f>
        <v>19.503133734477245</v>
      </c>
      <c r="D34" s="194">
        <f ca="1">CHOOSE($H$2,Output!$O$20,Output!$O$21,Output!$O$22)*(1+'Valuation '!D33)</f>
        <v>23.837163453249968</v>
      </c>
      <c r="E34" s="195"/>
      <c r="F34" s="195"/>
      <c r="G34" s="196"/>
      <c r="H34" s="196"/>
      <c r="I34" s="196"/>
      <c r="J34" s="196"/>
      <c r="K34" s="196"/>
      <c r="L34" s="197"/>
      <c r="M34" s="197"/>
      <c r="N34" s="198"/>
      <c r="O34" s="199">
        <f ca="1">$B34*C34</f>
        <v>339.35743766567521</v>
      </c>
      <c r="P34" s="199">
        <f ca="1">$B34*D34</f>
        <v>414.77020159138078</v>
      </c>
    </row>
    <row r="35" spans="1:16" ht="14.25" customHeight="1">
      <c r="A35" s="181" t="s">
        <v>23</v>
      </c>
      <c r="B35" s="189">
        <f>AMGEN!M75/'Valuation '!C45</f>
        <v>19.203235069584117</v>
      </c>
      <c r="C35" s="183">
        <f ca="1">CHOOSE($H$2,Output!$T$20,Output!$T$21,Output!$T$22)*(1-'Valuation '!C33)</f>
        <v>14.288169883029724</v>
      </c>
      <c r="D35" s="183">
        <f ca="1">CHOOSE($H$2,Output!$O$20,Output!$O$21,Output!$O$22)*(1+'Valuation '!D33)</f>
        <v>23.837163453249968</v>
      </c>
      <c r="E35" s="184"/>
      <c r="F35" s="184"/>
      <c r="G35" s="190"/>
      <c r="H35" s="190"/>
      <c r="I35" s="190"/>
      <c r="J35" s="190"/>
      <c r="K35" s="190"/>
      <c r="L35" s="186"/>
      <c r="M35" s="186"/>
      <c r="N35" s="191"/>
      <c r="O35" s="188">
        <f ca="1">$B35*C35</f>
        <v>274.37908497797201</v>
      </c>
      <c r="P35" s="188">
        <f ca="1">$B35*D35</f>
        <v>457.75065318485861</v>
      </c>
    </row>
    <row r="36" spans="1:16" ht="14.25" customHeight="1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</row>
    <row r="37" spans="1:16" ht="14.25" customHeight="1">
      <c r="B37" s="176"/>
      <c r="C37" s="176"/>
      <c r="D37" s="176"/>
      <c r="E37" s="176"/>
      <c r="F37" s="176"/>
      <c r="G37" s="176"/>
      <c r="H37" s="176"/>
      <c r="I37" s="176"/>
      <c r="J37" s="176"/>
      <c r="K37" s="204"/>
      <c r="L37" s="206" t="s">
        <v>146</v>
      </c>
      <c r="M37" s="204"/>
      <c r="N37" s="204"/>
      <c r="O37" s="207">
        <f ca="1">MEDIAN(O34:O35)</f>
        <v>306.86826132182364</v>
      </c>
      <c r="P37" s="207">
        <f ca="1">MEDIAN(P34:P35)</f>
        <v>436.26042738811969</v>
      </c>
    </row>
    <row r="38" spans="1:16" ht="14.25" customHeight="1">
      <c r="O38" s="69"/>
      <c r="P38" s="69"/>
    </row>
    <row r="39" spans="1:16" ht="14.25" customHeight="1">
      <c r="O39" s="69"/>
      <c r="P39" s="69"/>
    </row>
    <row r="40" spans="1:16" ht="14.25" customHeight="1">
      <c r="N40" s="69"/>
      <c r="O40" s="69"/>
      <c r="P40" s="69"/>
    </row>
    <row r="41" spans="1:16" ht="14.25" customHeight="1"/>
    <row r="42" spans="1:16" ht="14.25" customHeight="1">
      <c r="A42" s="179" t="s">
        <v>147</v>
      </c>
      <c r="B42" s="179"/>
      <c r="C42" s="179"/>
    </row>
    <row r="43" spans="1:16" ht="14.25" customHeight="1"/>
    <row r="44" spans="1:16" ht="14.25" customHeight="1">
      <c r="A44" s="48" t="s">
        <v>24</v>
      </c>
      <c r="C44" s="70">
        <f>AMGEN!C16</f>
        <v>535</v>
      </c>
    </row>
    <row r="45" spans="1:16" ht="14.25" customHeight="1">
      <c r="A45" s="48" t="s">
        <v>25</v>
      </c>
      <c r="C45" s="67">
        <f>AMGEN!C17</f>
        <v>539.07583604996159</v>
      </c>
    </row>
    <row r="46" spans="1:16" ht="14.25" customHeight="1"/>
    <row r="47" spans="1:16" ht="14.25" customHeight="1"/>
    <row r="48" spans="1:16" ht="14.25" customHeight="1">
      <c r="A48" s="100"/>
      <c r="B48" s="100"/>
      <c r="C48" s="137"/>
      <c r="D48" s="100"/>
      <c r="E48" s="100"/>
      <c r="F48" s="100"/>
      <c r="G48" s="100"/>
      <c r="H48" s="100"/>
    </row>
    <row r="49" spans="1:8" ht="14.25" customHeight="1">
      <c r="A49" s="239"/>
      <c r="B49" s="240"/>
      <c r="C49" s="240"/>
      <c r="D49" s="240"/>
      <c r="E49" s="240"/>
      <c r="F49" s="240"/>
      <c r="G49" s="240"/>
      <c r="H49" s="240"/>
    </row>
    <row r="50" spans="1:8" ht="14.25" customHeight="1">
      <c r="A50" s="210" t="s">
        <v>148</v>
      </c>
      <c r="B50" s="211">
        <v>2023</v>
      </c>
      <c r="C50" s="211">
        <v>2024</v>
      </c>
      <c r="D50" s="211">
        <v>2025</v>
      </c>
      <c r="E50" s="211">
        <v>2026</v>
      </c>
      <c r="F50" s="73"/>
      <c r="G50" s="73"/>
      <c r="H50" s="138"/>
    </row>
    <row r="51" spans="1:8" ht="14.25" customHeight="1">
      <c r="A51" s="71" t="s">
        <v>36</v>
      </c>
      <c r="B51" s="141">
        <f>AMGEN!K60</f>
        <v>28190</v>
      </c>
      <c r="C51" s="141">
        <f>AMGEN!L60</f>
        <v>32139</v>
      </c>
      <c r="D51" s="141">
        <f>AMGEN!M60</f>
        <v>34034</v>
      </c>
      <c r="E51" s="141">
        <f>AMGEN!N60</f>
        <v>36108</v>
      </c>
      <c r="F51" s="100"/>
      <c r="G51" s="73"/>
      <c r="H51" s="138"/>
    </row>
    <row r="52" spans="1:8" ht="14.25" customHeight="1">
      <c r="A52" s="71" t="s">
        <v>37</v>
      </c>
      <c r="B52" s="141">
        <f>AMGEN!K66</f>
        <v>17470</v>
      </c>
      <c r="C52" s="141">
        <f>AMGEN!L66</f>
        <v>19805</v>
      </c>
      <c r="D52" s="141">
        <f>AMGEN!M66</f>
        <v>20730</v>
      </c>
      <c r="E52" s="141">
        <f>AMGEN!N66</f>
        <v>21480</v>
      </c>
      <c r="F52" s="100"/>
      <c r="G52" s="142"/>
      <c r="H52" s="139"/>
    </row>
    <row r="53" spans="1:8" ht="14.25" customHeight="1">
      <c r="A53" s="208" t="s">
        <v>38</v>
      </c>
      <c r="B53" s="209">
        <f>AMGEN!K64</f>
        <v>13399</v>
      </c>
      <c r="C53" s="209">
        <f>AMGEN!L64</f>
        <v>14495</v>
      </c>
      <c r="D53" s="209">
        <f>AMGEN!M64</f>
        <v>15667</v>
      </c>
      <c r="E53" s="209">
        <f>AMGEN!N64</f>
        <v>16960</v>
      </c>
      <c r="F53" s="73"/>
      <c r="G53" s="73"/>
      <c r="H53" s="139"/>
    </row>
    <row r="54" spans="1:8" ht="14.25" customHeight="1">
      <c r="A54" s="72"/>
      <c r="D54" s="212"/>
      <c r="E54" s="213"/>
      <c r="H54" s="140"/>
    </row>
    <row r="55" spans="1:8" ht="14.25" customHeight="1"/>
    <row r="56" spans="1:8" ht="14.25" customHeight="1"/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42">
    <mergeCell ref="A1:D2"/>
    <mergeCell ref="L4:M4"/>
    <mergeCell ref="N4:N5"/>
    <mergeCell ref="O4:P4"/>
    <mergeCell ref="C4:D4"/>
    <mergeCell ref="E4:F4"/>
    <mergeCell ref="G4:G5"/>
    <mergeCell ref="H4:H5"/>
    <mergeCell ref="I4:I5"/>
    <mergeCell ref="J4:J5"/>
    <mergeCell ref="K4:K5"/>
    <mergeCell ref="L13:M13"/>
    <mergeCell ref="N13:N14"/>
    <mergeCell ref="O13:P13"/>
    <mergeCell ref="C13:D13"/>
    <mergeCell ref="E13:F13"/>
    <mergeCell ref="G13:G14"/>
    <mergeCell ref="H13:H14"/>
    <mergeCell ref="I13:I14"/>
    <mergeCell ref="J13:J14"/>
    <mergeCell ref="K13:K14"/>
    <mergeCell ref="L22:M22"/>
    <mergeCell ref="N22:N23"/>
    <mergeCell ref="O22:P22"/>
    <mergeCell ref="C22:D22"/>
    <mergeCell ref="E22:F22"/>
    <mergeCell ref="G22:G23"/>
    <mergeCell ref="H22:H23"/>
    <mergeCell ref="I22:I23"/>
    <mergeCell ref="J22:J23"/>
    <mergeCell ref="K22:K23"/>
    <mergeCell ref="A49:H49"/>
    <mergeCell ref="L31:M31"/>
    <mergeCell ref="N31:N32"/>
    <mergeCell ref="O31:P31"/>
    <mergeCell ref="C31:D31"/>
    <mergeCell ref="E31:F31"/>
    <mergeCell ref="G31:G32"/>
    <mergeCell ref="H31:H32"/>
    <mergeCell ref="I31:I32"/>
    <mergeCell ref="J31:J32"/>
    <mergeCell ref="K31:K32"/>
  </mergeCells>
  <dataValidations count="1">
    <dataValidation type="list" allowBlank="1" showInputMessage="1" showErrorMessage="1" sqref="G2" xr:uid="{2DCC3829-22AE-4AD1-8CD1-29DAFC4435A7}">
      <formula1>$W$2:$W$4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5"/>
  <sheetViews>
    <sheetView showGridLines="0" zoomScale="76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I20" sqref="I20"/>
    </sheetView>
  </sheetViews>
  <sheetFormatPr defaultColWidth="14.453125" defaultRowHeight="15" customHeight="1"/>
  <cols>
    <col min="1" max="1" width="38.81640625" style="163" bestFit="1" customWidth="1"/>
    <col min="2" max="4" width="8.6328125" style="163" customWidth="1"/>
    <col min="5" max="5" width="9.90625" style="163" customWidth="1"/>
    <col min="6" max="6" width="15" style="163" customWidth="1"/>
    <col min="7" max="7" width="8.6328125" style="163" customWidth="1"/>
    <col min="8" max="8" width="9.90625" style="163" bestFit="1" customWidth="1"/>
    <col min="9" max="10" width="8.6328125" style="163" customWidth="1"/>
    <col min="11" max="11" width="1.90625" style="163" customWidth="1"/>
    <col min="12" max="12" width="8.6328125" style="163" customWidth="1"/>
    <col min="13" max="13" width="10.453125" style="163" customWidth="1"/>
    <col min="14" max="15" width="8.6328125" style="163" customWidth="1"/>
    <col min="16" max="16" width="1.90625" style="163" customWidth="1"/>
    <col min="17" max="17" width="8.6328125" style="163" customWidth="1"/>
    <col min="18" max="18" width="10.453125" style="163" customWidth="1"/>
    <col min="19" max="26" width="8.6328125" style="163" customWidth="1"/>
    <col min="27" max="16384" width="14.453125" style="163"/>
  </cols>
  <sheetData>
    <row r="1" spans="1:21" ht="28.5" customHeight="1">
      <c r="A1" s="161" t="s">
        <v>39</v>
      </c>
      <c r="B1" s="162"/>
      <c r="C1" s="162"/>
    </row>
    <row r="2" spans="1:21" ht="14.25" customHeight="1">
      <c r="A2" s="164" t="s">
        <v>139</v>
      </c>
      <c r="B2" s="162"/>
      <c r="C2" s="162"/>
    </row>
    <row r="3" spans="1:21" ht="0.75" customHeight="1"/>
    <row r="4" spans="1:21" ht="0.75" customHeight="1"/>
    <row r="5" spans="1:21" ht="14.25" customHeight="1"/>
    <row r="6" spans="1:21" ht="14.25" customHeight="1">
      <c r="A6" s="163" t="s">
        <v>40</v>
      </c>
      <c r="C6" s="165" t="s">
        <v>162</v>
      </c>
    </row>
    <row r="7" spans="1:21" ht="14.25" customHeight="1">
      <c r="A7" s="163" t="s">
        <v>41</v>
      </c>
      <c r="C7" s="166" t="s">
        <v>163</v>
      </c>
    </row>
    <row r="8" spans="1:21" ht="14.25" customHeight="1">
      <c r="A8" s="163" t="s">
        <v>42</v>
      </c>
      <c r="C8" s="166" t="s">
        <v>43</v>
      </c>
    </row>
    <row r="9" spans="1:21" ht="0.75" customHeight="1"/>
    <row r="10" spans="1:21" ht="0.75" customHeight="1"/>
    <row r="11" spans="1:21" ht="14.25" customHeight="1">
      <c r="B11" s="167" t="s">
        <v>164</v>
      </c>
      <c r="C11" s="167"/>
      <c r="D11" s="167" t="s">
        <v>44</v>
      </c>
      <c r="E11" s="167" t="s">
        <v>45</v>
      </c>
      <c r="F11" s="167" t="s">
        <v>46</v>
      </c>
      <c r="G11" s="218" t="s">
        <v>47</v>
      </c>
      <c r="H11" s="218" t="s">
        <v>48</v>
      </c>
      <c r="I11" s="218" t="s">
        <v>49</v>
      </c>
      <c r="J11" s="218" t="s">
        <v>50</v>
      </c>
      <c r="K11" s="167"/>
      <c r="L11" s="218" t="s">
        <v>51</v>
      </c>
      <c r="M11" s="218" t="s">
        <v>52</v>
      </c>
      <c r="N11" s="218" t="s">
        <v>53</v>
      </c>
      <c r="O11" s="218" t="s">
        <v>54</v>
      </c>
      <c r="Q11" s="219" t="s">
        <v>55</v>
      </c>
      <c r="R11" s="218" t="s">
        <v>56</v>
      </c>
      <c r="S11" s="218" t="s">
        <v>57</v>
      </c>
      <c r="T11" s="218" t="s">
        <v>58</v>
      </c>
      <c r="U11" s="167"/>
    </row>
    <row r="12" spans="1:21" ht="14.25" customHeight="1">
      <c r="A12" s="166"/>
      <c r="B12" s="253" t="s">
        <v>59</v>
      </c>
      <c r="C12" s="253" t="s">
        <v>60</v>
      </c>
      <c r="D12" s="166"/>
      <c r="E12" s="166"/>
      <c r="F12" s="166"/>
      <c r="G12" s="255" t="s">
        <v>61</v>
      </c>
      <c r="H12" s="256"/>
      <c r="I12" s="256"/>
      <c r="J12" s="257"/>
      <c r="L12" s="255" t="s">
        <v>165</v>
      </c>
      <c r="M12" s="256"/>
      <c r="N12" s="256"/>
      <c r="O12" s="257"/>
      <c r="P12" s="168"/>
      <c r="Q12" s="258" t="s">
        <v>166</v>
      </c>
      <c r="R12" s="256"/>
      <c r="S12" s="256"/>
      <c r="T12" s="257"/>
      <c r="U12" s="166"/>
    </row>
    <row r="13" spans="1:21" ht="14.25" customHeight="1">
      <c r="A13" s="224" t="s">
        <v>62</v>
      </c>
      <c r="B13" s="254"/>
      <c r="C13" s="254"/>
      <c r="D13" s="220" t="s">
        <v>63</v>
      </c>
      <c r="E13" s="220" t="s">
        <v>64</v>
      </c>
      <c r="F13" s="220" t="s">
        <v>65</v>
      </c>
      <c r="G13" s="225" t="s">
        <v>66</v>
      </c>
      <c r="H13" s="225" t="s">
        <v>67</v>
      </c>
      <c r="I13" s="225" t="s">
        <v>68</v>
      </c>
      <c r="J13" s="225" t="s">
        <v>69</v>
      </c>
      <c r="K13" s="223"/>
      <c r="L13" s="225" t="s">
        <v>66</v>
      </c>
      <c r="M13" s="225" t="s">
        <v>67</v>
      </c>
      <c r="N13" s="225" t="s">
        <v>68</v>
      </c>
      <c r="O13" s="225" t="s">
        <v>69</v>
      </c>
      <c r="P13" s="223"/>
      <c r="Q13" s="225" t="s">
        <v>66</v>
      </c>
      <c r="R13" s="225" t="s">
        <v>67</v>
      </c>
      <c r="S13" s="225" t="s">
        <v>68</v>
      </c>
      <c r="T13" s="225" t="s">
        <v>69</v>
      </c>
      <c r="U13" s="166"/>
    </row>
    <row r="14" spans="1:21" ht="14.25" customHeight="1">
      <c r="A14" s="226" t="s">
        <v>150</v>
      </c>
      <c r="B14" s="227" t="str">
        <f ca="1">INDIRECT($A14&amp;"!"&amp;B$11)</f>
        <v>USD</v>
      </c>
      <c r="C14" s="228">
        <v>1</v>
      </c>
      <c r="D14" s="227">
        <f ca="1">INDIRECT($A14&amp;"!"&amp;D$11)*$C14</f>
        <v>167.8</v>
      </c>
      <c r="E14" s="227">
        <f ca="1">INDIRECT($A14&amp;"!"&amp;E$11)*$C14</f>
        <v>297361.66626000003</v>
      </c>
      <c r="F14" s="227">
        <f ca="1">INDIRECT($A14&amp;"!"&amp;F$11)*$C14</f>
        <v>344063.66626000003</v>
      </c>
      <c r="G14" s="230">
        <f ca="1">$F14/INDIRECT($A14&amp;"!"&amp;G$11)*$C14</f>
        <v>6.334247694318643</v>
      </c>
      <c r="H14" s="230">
        <f t="shared" ref="H14:N17" ca="1" si="0">$F14/INDIRECT($A14&amp;"!"&amp;H$11)*$C14</f>
        <v>13.468924104912899</v>
      </c>
      <c r="I14" s="230">
        <f t="shared" ca="1" si="0"/>
        <v>13.877451952567258</v>
      </c>
      <c r="J14" s="230">
        <f ca="1">$E14/INDIRECT($A14&amp;"!"&amp;J$11)*$C14</f>
        <v>47.058342500395639</v>
      </c>
      <c r="K14" s="231"/>
      <c r="L14" s="230">
        <f t="shared" ca="1" si="0"/>
        <v>6.3054588252758137</v>
      </c>
      <c r="M14" s="230">
        <f t="shared" ca="1" si="0"/>
        <v>13.177467110685562</v>
      </c>
      <c r="N14" s="230">
        <f t="shared" ca="1" si="0"/>
        <v>13.634383446007531</v>
      </c>
      <c r="O14" s="230">
        <f ca="1">$E14/INDIRECT($A14&amp;"!"&amp;O$11)*$C14</f>
        <v>32.666337060309793</v>
      </c>
      <c r="P14" s="231"/>
      <c r="Q14" s="230">
        <f t="shared" ref="Q14:S17" ca="1" si="1">$F14/INDIRECT($A14&amp;"!"&amp;Q$11)*$C14</f>
        <v>5.9548221024939858</v>
      </c>
      <c r="R14" s="230">
        <f t="shared" ca="1" si="1"/>
        <v>12.125591762466961</v>
      </c>
      <c r="S14" s="230">
        <f t="shared" ca="1" si="1"/>
        <v>12.540134353610089</v>
      </c>
      <c r="T14" s="230">
        <f ca="1">$E14/INDIRECT($A14&amp;"!"&amp;T$11)*$C14</f>
        <v>268.13495605049599</v>
      </c>
      <c r="U14" s="168"/>
    </row>
    <row r="15" spans="1:21" ht="14.25" customHeight="1">
      <c r="A15" s="226" t="s">
        <v>151</v>
      </c>
      <c r="B15" s="227" t="str">
        <f t="shared" ref="B15:B16" ca="1" si="2">INDIRECT($A15&amp;"!"&amp;B$11)</f>
        <v>USD</v>
      </c>
      <c r="C15" s="228">
        <v>1</v>
      </c>
      <c r="D15" s="227">
        <f t="shared" ref="D15:F17" ca="1" si="3">INDIRECT($A15&amp;"!"&amp;D$11)*$C15</f>
        <v>48.86</v>
      </c>
      <c r="E15" s="227">
        <f t="shared" ca="1" si="3"/>
        <v>99674.4</v>
      </c>
      <c r="F15" s="227">
        <f t="shared" ca="1" si="3"/>
        <v>126935.4</v>
      </c>
      <c r="G15" s="230">
        <f t="shared" ref="G15:I17" ca="1" si="4">$F15/INDIRECT($A15&amp;"!"&amp;G$11)*$C15</f>
        <v>2.8204106119184109</v>
      </c>
      <c r="H15" s="230">
        <f t="shared" ca="1" si="4"/>
        <v>7.2311382021191744</v>
      </c>
      <c r="I15" s="230">
        <f t="shared" ca="1" si="4"/>
        <v>7.5372840092631073</v>
      </c>
      <c r="J15" s="230">
        <f t="shared" ref="J15:J17" ca="1" si="5">$E15/INDIRECT($A15&amp;"!"&amp;J$11)*$C15</f>
        <v>6.6119004975124378</v>
      </c>
      <c r="K15" s="231"/>
      <c r="L15" s="230">
        <f t="shared" ca="1" si="0"/>
        <v>2.7719389426331533</v>
      </c>
      <c r="M15" s="230">
        <f t="shared" ca="1" si="0"/>
        <v>30.201142041398999</v>
      </c>
      <c r="N15" s="230">
        <f t="shared" ca="1" si="0"/>
        <v>31.821358736525443</v>
      </c>
      <c r="O15" s="230">
        <f t="shared" ref="O15:O17" ca="1" si="6">$E15/INDIRECT($A15&amp;"!"&amp;O$11)*$C15</f>
        <v>-25.208497723823974</v>
      </c>
      <c r="P15" s="230"/>
      <c r="Q15" s="230">
        <f t="shared" ca="1" si="1"/>
        <v>2.7391005998877906</v>
      </c>
      <c r="R15" s="230">
        <f t="shared" ca="1" si="1"/>
        <v>7.0371105444062527</v>
      </c>
      <c r="S15" s="230">
        <f t="shared" ca="1" si="1"/>
        <v>7.4409637141684737</v>
      </c>
      <c r="T15" s="230">
        <f t="shared" ref="T15:T17" ca="1" si="7">$E15/INDIRECT($A15&amp;"!"&amp;T$11)*$C15</f>
        <v>9.6686778543020662</v>
      </c>
      <c r="U15" s="168"/>
    </row>
    <row r="16" spans="1:21" ht="14.25" customHeight="1">
      <c r="A16" s="226" t="s">
        <v>152</v>
      </c>
      <c r="B16" s="227" t="str">
        <f t="shared" ca="1" si="2"/>
        <v>USD</v>
      </c>
      <c r="C16" s="228">
        <v>1</v>
      </c>
      <c r="D16" s="227">
        <f t="shared" ca="1" si="3"/>
        <v>26.270000000000003</v>
      </c>
      <c r="E16" s="227">
        <f t="shared" ca="1" si="3"/>
        <v>149025.61188000001</v>
      </c>
      <c r="F16" s="227">
        <f t="shared" ca="1" si="3"/>
        <v>210854.61188000001</v>
      </c>
      <c r="G16" s="230">
        <f t="shared" ca="1" si="4"/>
        <v>3.6045988081236326</v>
      </c>
      <c r="H16" s="230">
        <f t="shared" ca="1" si="4"/>
        <v>13.524991140474665</v>
      </c>
      <c r="I16" s="230">
        <f t="shared" ca="1" si="4"/>
        <v>22.672538911827957</v>
      </c>
      <c r="J16" s="230">
        <f t="shared" ca="1" si="5"/>
        <v>43.869770939063883</v>
      </c>
      <c r="K16" s="231"/>
      <c r="L16" s="230">
        <f t="shared" ca="1" si="0"/>
        <v>3.5172918509374793</v>
      </c>
      <c r="M16" s="230">
        <f t="shared" ca="1" si="0"/>
        <v>10.648147251792748</v>
      </c>
      <c r="N16" s="230">
        <f t="shared" ca="1" si="0"/>
        <v>12.89078754539341</v>
      </c>
      <c r="O16" s="230">
        <f t="shared" ca="1" si="6"/>
        <v>21.670148593863605</v>
      </c>
      <c r="P16" s="231"/>
      <c r="Q16" s="230">
        <f t="shared" ca="1" si="1"/>
        <v>3.3703842950080722</v>
      </c>
      <c r="R16" s="230">
        <f t="shared" ca="1" si="1"/>
        <v>9.3047355315299409</v>
      </c>
      <c r="S16" s="230">
        <f t="shared" ca="1" si="1"/>
        <v>11.062676384050368</v>
      </c>
      <c r="T16" s="230">
        <f ca="1">$E16/INDIRECT($A16&amp;"!"&amp;T$11)*$C16</f>
        <v>15.875744314477471</v>
      </c>
      <c r="U16" s="168"/>
    </row>
    <row r="17" spans="1:21" ht="14.25" customHeight="1">
      <c r="A17" s="226" t="s">
        <v>153</v>
      </c>
      <c r="B17" s="227" t="str">
        <f ca="1">INDIRECT($A17&amp;"!"&amp;B$11)</f>
        <v>USD</v>
      </c>
      <c r="C17" s="228">
        <v>1</v>
      </c>
      <c r="D17" s="227">
        <f t="shared" ca="1" si="3"/>
        <v>906.54</v>
      </c>
      <c r="E17" s="227">
        <f t="shared" ca="1" si="3"/>
        <v>106876.81319983999</v>
      </c>
      <c r="F17" s="227">
        <f t="shared" ca="1" si="3"/>
        <v>109507.81319983998</v>
      </c>
      <c r="G17" s="230">
        <f t="shared" ca="1" si="4"/>
        <v>8.3484137773183278</v>
      </c>
      <c r="H17" s="230">
        <f t="shared" ca="1" si="4"/>
        <v>23.47384047498231</v>
      </c>
      <c r="I17" s="230">
        <f t="shared" ca="1" si="4"/>
        <v>25.802364034739984</v>
      </c>
      <c r="J17" s="230">
        <f t="shared" ca="1" si="5"/>
        <v>21.186380129215394</v>
      </c>
      <c r="K17" s="231"/>
      <c r="L17" s="230">
        <f t="shared" ca="1" si="0"/>
        <v>7.8873388936790532</v>
      </c>
      <c r="M17" s="230">
        <f t="shared" ca="1" si="0"/>
        <v>19.946778360626588</v>
      </c>
      <c r="N17" s="230">
        <f t="shared" ca="1" si="0"/>
        <v>21.038965072015365</v>
      </c>
      <c r="O17" s="230">
        <f t="shared" ca="1" si="6"/>
        <v>24.889802794559849</v>
      </c>
      <c r="P17" s="230"/>
      <c r="Q17" s="230">
        <f t="shared" ca="1" si="1"/>
        <v>7.3807247556675861</v>
      </c>
      <c r="R17" s="230">
        <f t="shared" ca="1" si="1"/>
        <v>18.208814965054867</v>
      </c>
      <c r="S17" s="230">
        <f t="shared" ca="1" si="1"/>
        <v>19.734693314081813</v>
      </c>
      <c r="T17" s="230">
        <f t="shared" ca="1" si="7"/>
        <v>23.645312654831855</v>
      </c>
      <c r="U17" s="168"/>
    </row>
    <row r="18" spans="1:21" s="172" customFormat="1" ht="14.25" customHeight="1">
      <c r="A18" s="232" t="s">
        <v>138</v>
      </c>
      <c r="B18" s="229" t="str">
        <f>'J&amp;J'!E10</f>
        <v>USD</v>
      </c>
      <c r="C18" s="228">
        <v>1</v>
      </c>
      <c r="D18" s="227">
        <f>'J&amp;J'!C15</f>
        <v>148.53</v>
      </c>
      <c r="E18" s="227">
        <f>'J&amp;J'!F18</f>
        <v>364563.08983999997</v>
      </c>
      <c r="F18" s="238">
        <f>'J&amp;J'!F32</f>
        <v>360068.08983999997</v>
      </c>
      <c r="G18" s="233">
        <f>$F$18/'J&amp;J'!K59</f>
        <v>4.2281859796380887</v>
      </c>
      <c r="H18" s="233">
        <f>$F$18/'J&amp;J'!K65</f>
        <v>12.175568587562978</v>
      </c>
      <c r="I18" s="233">
        <f>$F$18/'J&amp;J'!K63</f>
        <v>16.302263315072214</v>
      </c>
      <c r="J18" s="233">
        <f>$F$18/'J&amp;J'!K74</f>
        <v>7.9136259603649339</v>
      </c>
      <c r="K18" s="234"/>
      <c r="L18" s="233">
        <f>$F$18/'J&amp;J'!L59</f>
        <v>4.0737214309634791</v>
      </c>
      <c r="M18" s="233">
        <f>$F$18/'J&amp;J'!L65</f>
        <v>11.191275248337165</v>
      </c>
      <c r="N18" s="233">
        <f>$F$18/'J&amp;J'!L63</f>
        <v>12.420852386767393</v>
      </c>
      <c r="O18" s="233">
        <f>$F$18/'J&amp;J'!L74</f>
        <v>16.13786705987809</v>
      </c>
      <c r="P18" s="233"/>
      <c r="Q18" s="233">
        <f>$F$18/'J&amp;J'!M59</f>
        <v>3.9645033729341685</v>
      </c>
      <c r="R18" s="233">
        <f>$F$18/'J&amp;J'!M65</f>
        <v>10.880491035566433</v>
      </c>
      <c r="S18" s="233">
        <f>$F$18/'J&amp;J'!M63</f>
        <v>12.022708265384486</v>
      </c>
      <c r="T18" s="233">
        <f>$F$18/'J&amp;J'!M74</f>
        <v>15.656495775284807</v>
      </c>
      <c r="U18" s="173"/>
    </row>
    <row r="19" spans="1:21" ht="14.25" customHeight="1">
      <c r="A19" s="221"/>
      <c r="B19" s="221"/>
      <c r="C19" s="222"/>
      <c r="D19" s="222"/>
      <c r="E19" s="223"/>
      <c r="F19" s="235" t="s">
        <v>70</v>
      </c>
      <c r="G19" s="236">
        <f ca="1">SUM(G14:G18)/5</f>
        <v>5.0671713742634203</v>
      </c>
      <c r="H19" s="236">
        <f ca="1">SUM(H14:H18)/5</f>
        <v>13.974892502010405</v>
      </c>
      <c r="I19" s="236">
        <f ca="1">SUM(I14:I18)/5</f>
        <v>17.238380444694105</v>
      </c>
      <c r="J19" s="236">
        <f ca="1">SUM(J14:J18)/5</f>
        <v>25.328004005310458</v>
      </c>
      <c r="K19" s="237"/>
      <c r="L19" s="236">
        <f ca="1">SUM(L14:L18)/5</f>
        <v>4.9111499886977956</v>
      </c>
      <c r="M19" s="236">
        <f ca="1">SUM(M14:M18)/5</f>
        <v>17.032962002568215</v>
      </c>
      <c r="N19" s="236">
        <f ca="1">SUM(N14:N18)/5</f>
        <v>18.361269437341825</v>
      </c>
      <c r="O19" s="236">
        <f ca="1">SUM(O14:O18)/5</f>
        <v>14.031131556957472</v>
      </c>
      <c r="P19" s="237"/>
      <c r="Q19" s="236">
        <f ca="1">SUM(Q14:Q18)/5</f>
        <v>4.6819070251983206</v>
      </c>
      <c r="R19" s="236">
        <f ca="1">SUM(R14:R18)/5</f>
        <v>11.511348767804893</v>
      </c>
      <c r="S19" s="236">
        <f ca="1">SUM(S14:S18)/5</f>
        <v>12.560235206259048</v>
      </c>
      <c r="T19" s="236">
        <f ca="1">SUM(T14:T18)/5</f>
        <v>66.596237329878434</v>
      </c>
      <c r="U19" s="220"/>
    </row>
    <row r="20" spans="1:21" ht="14.25" customHeight="1">
      <c r="C20" s="169"/>
      <c r="D20" s="169"/>
      <c r="E20" s="168"/>
      <c r="F20" s="235" t="s">
        <v>0</v>
      </c>
      <c r="G20" s="236">
        <f ca="1">MEDIAN(G14:G18)</f>
        <v>4.2281859796380887</v>
      </c>
      <c r="H20" s="236">
        <f ca="1">MEDIAN(H14,H15,H16,H18)</f>
        <v>12.822246346237939</v>
      </c>
      <c r="I20" s="236">
        <f ca="1">MEDIAN(I14:I18)</f>
        <v>16.302263315072214</v>
      </c>
      <c r="J20" s="236">
        <f ca="1">MEDIAN(J14:J18)</f>
        <v>21.186380129215394</v>
      </c>
      <c r="K20" s="237"/>
      <c r="L20" s="236">
        <f ca="1">MEDIAN(L14:L18)</f>
        <v>4.0737214309634791</v>
      </c>
      <c r="M20" s="236">
        <f ca="1">MEDIAN(M14:M18)</f>
        <v>13.177467110685562</v>
      </c>
      <c r="N20" s="236">
        <f ca="1">MEDIAN(N14:N18)</f>
        <v>13.634383446007531</v>
      </c>
      <c r="O20" s="236">
        <f ca="1">MEDIAN(O14:O18)</f>
        <v>21.670148593863605</v>
      </c>
      <c r="P20" s="237"/>
      <c r="Q20" s="236">
        <f ca="1">MEDIAN(Q14:Q18)</f>
        <v>3.9645033729341685</v>
      </c>
      <c r="R20" s="236">
        <f ca="1">MEDIAN(R14:R18)</f>
        <v>10.880491035566433</v>
      </c>
      <c r="S20" s="236">
        <f ca="1">MEDIAN(S14:S18)</f>
        <v>12.022708265384486</v>
      </c>
      <c r="T20" s="236">
        <f ca="1">MEDIAN(T14:T18)</f>
        <v>15.875744314477471</v>
      </c>
      <c r="U20" s="220"/>
    </row>
    <row r="21" spans="1:21" ht="14.25" customHeight="1">
      <c r="C21" s="169"/>
      <c r="D21" s="169"/>
      <c r="E21" s="168"/>
      <c r="F21" s="235" t="s">
        <v>1</v>
      </c>
      <c r="G21" s="236">
        <f ca="1">PERCENTILE(G14:G18,0.25)</f>
        <v>3.6045988081236326</v>
      </c>
      <c r="H21" s="236">
        <f ca="1">PERCENTILE(H14:H18,0.25)</f>
        <v>12.175568587562978</v>
      </c>
      <c r="I21" s="236">
        <f ca="1">PERCENTILE(I14:I18,0.25)</f>
        <v>13.877451952567258</v>
      </c>
      <c r="J21" s="236">
        <f ca="1">PERCENTILE(J14:J18,0.25)</f>
        <v>7.9136259603649339</v>
      </c>
      <c r="K21" s="237"/>
      <c r="L21" s="236">
        <f ca="1">PERCENTILE(L14:L18,0.25)</f>
        <v>3.5172918509374793</v>
      </c>
      <c r="M21" s="236">
        <f ca="1">PERCENTILE(M14:M18,0.25)</f>
        <v>11.191275248337165</v>
      </c>
      <c r="N21" s="236">
        <f ca="1">PERCENTILE(N14:N18,0.25)</f>
        <v>12.89078754539341</v>
      </c>
      <c r="O21" s="236">
        <f ca="1">PERCENTILE(O14:O18,0.25)</f>
        <v>16.13786705987809</v>
      </c>
      <c r="P21" s="237"/>
      <c r="Q21" s="236">
        <f ca="1">PERCENTILE(Q14:Q18,0.25)</f>
        <v>3.3703842950080722</v>
      </c>
      <c r="R21" s="236">
        <f ca="1">PERCENTILE(R14:R18,0.25)</f>
        <v>9.3047355315299409</v>
      </c>
      <c r="S21" s="236">
        <f ca="1">PERCENTILE(S14:S18,0.25)</f>
        <v>11.062676384050368</v>
      </c>
      <c r="T21" s="236">
        <f ca="1">PERCENTILE(T14:T18,0.25)</f>
        <v>15.656495775284807</v>
      </c>
      <c r="U21" s="220"/>
    </row>
    <row r="22" spans="1:21" ht="14.25" customHeight="1">
      <c r="C22" s="169"/>
      <c r="D22" s="169"/>
      <c r="E22" s="168"/>
      <c r="F22" s="235" t="s">
        <v>9</v>
      </c>
      <c r="G22" s="236">
        <f ca="1">PERCENTILE(G14:G18,0.75)</f>
        <v>6.334247694318643</v>
      </c>
      <c r="H22" s="236">
        <f ca="1">PERCENTILE(H14:H18,0.75)</f>
        <v>13.524991140474665</v>
      </c>
      <c r="I22" s="236">
        <f ca="1">PERCENTILE(I14:I18,0.75)</f>
        <v>22.672538911827957</v>
      </c>
      <c r="J22" s="236">
        <f ca="1">PERCENTILE(J14:J18,0.75)</f>
        <v>43.869770939063883</v>
      </c>
      <c r="K22" s="237"/>
      <c r="L22" s="236">
        <f ca="1">PERCENTILE(L14:L18,0.75)</f>
        <v>6.3054588252758137</v>
      </c>
      <c r="M22" s="236">
        <f ca="1">PERCENTILE(M14:M18,0.75)</f>
        <v>19.946778360626588</v>
      </c>
      <c r="N22" s="236">
        <f ca="1">PERCENTILE(N14:N18,0.75)</f>
        <v>21.038965072015365</v>
      </c>
      <c r="O22" s="236">
        <f ca="1">PERCENTILE(O14:O18,0.75)</f>
        <v>24.889802794559849</v>
      </c>
      <c r="P22" s="237"/>
      <c r="Q22" s="236">
        <f ca="1">PERCENTILE(Q14:Q18,0.75)</f>
        <v>5.9548221024939858</v>
      </c>
      <c r="R22" s="236">
        <f ca="1">PERCENTILE(R14:R18,0.75)</f>
        <v>12.125591762466961</v>
      </c>
      <c r="S22" s="236">
        <f ca="1">PERCENTILE(S14:S18,0.75)</f>
        <v>12.540134353610089</v>
      </c>
      <c r="T22" s="236">
        <f ca="1">PERCENTILE(T14:T18,0.75)</f>
        <v>23.645312654831855</v>
      </c>
      <c r="U22" s="220"/>
    </row>
    <row r="23" spans="1:21" ht="14.25" customHeight="1">
      <c r="B23" s="169"/>
      <c r="C23" s="169"/>
      <c r="D23" s="169"/>
      <c r="E23" s="169"/>
      <c r="F23" s="169"/>
      <c r="G23" s="168"/>
      <c r="H23" s="168"/>
      <c r="I23" s="168"/>
      <c r="J23" s="168"/>
      <c r="K23" s="168"/>
    </row>
    <row r="24" spans="1:21" ht="14.25" customHeight="1">
      <c r="A24" s="170"/>
      <c r="J24" s="169"/>
      <c r="K24" s="169"/>
    </row>
    <row r="25" spans="1:21" ht="14.25" customHeight="1">
      <c r="J25" s="169"/>
      <c r="K25" s="169"/>
    </row>
    <row r="26" spans="1:21" ht="14.25" customHeight="1">
      <c r="A26" s="171"/>
      <c r="B26" s="171"/>
      <c r="J26" s="167"/>
      <c r="K26" s="167"/>
    </row>
    <row r="27" spans="1:21" ht="14.25" customHeight="1"/>
    <row r="28" spans="1:21" ht="14.25" customHeight="1"/>
    <row r="29" spans="1:21" ht="14.25" customHeight="1"/>
    <row r="30" spans="1:21" ht="14.25" customHeight="1"/>
    <row r="31" spans="1:21" ht="14.25" customHeight="1"/>
    <row r="32" spans="1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5">
    <mergeCell ref="B12:B13"/>
    <mergeCell ref="C12:C13"/>
    <mergeCell ref="G12:J12"/>
    <mergeCell ref="L12:O12"/>
    <mergeCell ref="Q12:T1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showGridLines="0" tabSelected="1" zoomScale="60" workbookViewId="0">
      <selection activeCell="O63" sqref="O63"/>
    </sheetView>
  </sheetViews>
  <sheetFormatPr defaultColWidth="14.453125" defaultRowHeight="15" customHeight="1"/>
  <cols>
    <col min="1" max="1" width="3.453125" style="48" customWidth="1"/>
    <col min="2" max="2" width="50.453125" style="48" bestFit="1" customWidth="1"/>
    <col min="3" max="3" width="10.7265625" style="48" bestFit="1" customWidth="1"/>
    <col min="4" max="4" width="9.90625" style="48" customWidth="1"/>
    <col min="5" max="5" width="15.36328125" style="48" bestFit="1" customWidth="1"/>
    <col min="6" max="6" width="9.08984375" style="48" bestFit="1" customWidth="1"/>
    <col min="7" max="7" width="12.90625" style="48" bestFit="1" customWidth="1"/>
    <col min="8" max="15" width="11.81640625" style="48" customWidth="1"/>
    <col min="16" max="26" width="11.453125" style="48" customWidth="1"/>
    <col min="27" max="16384" width="14.453125" style="48"/>
  </cols>
  <sheetData>
    <row r="1" spans="1:26" ht="29" customHeight="1">
      <c r="A1" s="263" t="s">
        <v>148</v>
      </c>
      <c r="B1" s="26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64" t="str">
        <f>"(In "&amp;F10&amp;" Millions Except Per Share Data)"</f>
        <v>(In  Millions Except Per Share Data)</v>
      </c>
      <c r="B2" s="26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0" t="s">
        <v>71</v>
      </c>
      <c r="B4" s="81"/>
      <c r="C4" s="261"/>
      <c r="D4" s="261"/>
      <c r="E4" s="261"/>
      <c r="F4" s="26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76" t="s">
        <v>72</v>
      </c>
      <c r="B5" s="77"/>
      <c r="C5" s="145"/>
      <c r="D5" s="145"/>
      <c r="E5" s="75" t="s">
        <v>154</v>
      </c>
      <c r="F5" s="14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76" t="s">
        <v>73</v>
      </c>
      <c r="B6" s="77"/>
      <c r="C6" s="77"/>
      <c r="D6" s="77"/>
      <c r="E6" s="108">
        <v>45406</v>
      </c>
      <c r="F6" s="14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76" t="s">
        <v>74</v>
      </c>
      <c r="B7" s="77"/>
      <c r="C7" s="77"/>
      <c r="D7" s="77"/>
      <c r="E7" s="74" t="s">
        <v>155</v>
      </c>
      <c r="F7" s="14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76" t="s">
        <v>75</v>
      </c>
      <c r="B8" s="77"/>
      <c r="C8" s="77"/>
      <c r="D8" s="77"/>
      <c r="E8" s="74" t="s">
        <v>156</v>
      </c>
      <c r="F8" s="14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76" t="s">
        <v>76</v>
      </c>
      <c r="B9" s="77"/>
      <c r="C9" s="77"/>
      <c r="D9" s="77"/>
      <c r="E9" s="74" t="s">
        <v>156</v>
      </c>
      <c r="F9" s="14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76" t="s">
        <v>59</v>
      </c>
      <c r="B10" s="77"/>
      <c r="C10" s="77"/>
      <c r="D10" s="77"/>
      <c r="E10" s="74" t="s">
        <v>43</v>
      </c>
      <c r="F10" s="14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78" t="s">
        <v>77</v>
      </c>
      <c r="B11" s="79"/>
      <c r="C11" s="148"/>
      <c r="D11" s="79"/>
      <c r="E11" s="82">
        <v>0.21</v>
      </c>
      <c r="F11" s="14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thickBot="1">
      <c r="A13" s="2"/>
      <c r="B13" s="2"/>
      <c r="C13" s="2"/>
      <c r="D13" s="2"/>
      <c r="E13" s="2"/>
      <c r="F13" s="2"/>
      <c r="G13" s="265"/>
      <c r="H13" s="260"/>
      <c r="I13" s="26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thickBot="1">
      <c r="A14" s="49" t="s">
        <v>78</v>
      </c>
      <c r="B14" s="19"/>
      <c r="C14" s="85" t="s">
        <v>79</v>
      </c>
      <c r="D14" s="85" t="s">
        <v>80</v>
      </c>
      <c r="E14" s="85" t="s">
        <v>137</v>
      </c>
      <c r="F14" s="20"/>
      <c r="G14" s="2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82</v>
      </c>
      <c r="B15" s="2"/>
      <c r="C15" s="8">
        <v>273.01</v>
      </c>
      <c r="D15" s="8"/>
      <c r="E15" s="8"/>
      <c r="F15" s="11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83</v>
      </c>
      <c r="B16" s="2"/>
      <c r="C16" s="8">
        <v>535</v>
      </c>
      <c r="D16" s="8"/>
      <c r="E16" s="8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84</v>
      </c>
      <c r="B17" s="2"/>
      <c r="C17" s="12">
        <f>C16+H45+G53</f>
        <v>539.07583604996159</v>
      </c>
      <c r="D17" s="12"/>
      <c r="E17" s="12"/>
      <c r="F17" s="11"/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64</v>
      </c>
      <c r="B18" s="2"/>
      <c r="C18" s="12">
        <f>C17*C15</f>
        <v>147173.09400000001</v>
      </c>
      <c r="D18" s="12"/>
      <c r="E18" s="12">
        <f>C18</f>
        <v>147173.09400000001</v>
      </c>
      <c r="F18" s="14"/>
      <c r="G18" s="2"/>
      <c r="H18" s="2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 t="s">
        <v>3</v>
      </c>
      <c r="B19" s="2"/>
      <c r="C19" s="2">
        <v>0</v>
      </c>
      <c r="D19" s="13"/>
      <c r="E19" s="12">
        <f t="shared" ref="E19:E29" si="0">C19</f>
        <v>0</v>
      </c>
      <c r="F19" s="15"/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 t="s">
        <v>85</v>
      </c>
      <c r="B20" s="2"/>
      <c r="C20" s="2">
        <v>0</v>
      </c>
      <c r="D20" s="13"/>
      <c r="E20" s="12">
        <f t="shared" si="0"/>
        <v>0</v>
      </c>
      <c r="F20" s="14"/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/>
      <c r="B21" s="2" t="s">
        <v>86</v>
      </c>
      <c r="C21" s="2">
        <v>0</v>
      </c>
      <c r="D21" s="2"/>
      <c r="E21" s="12">
        <f t="shared" si="0"/>
        <v>0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/>
      <c r="B22" s="37" t="s">
        <v>87</v>
      </c>
      <c r="C22" s="2">
        <v>0</v>
      </c>
      <c r="D22" s="2"/>
      <c r="E22" s="12">
        <f t="shared" si="0"/>
        <v>0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 t="s">
        <v>88</v>
      </c>
      <c r="B23" s="2"/>
      <c r="C23" s="2"/>
      <c r="D23" s="2"/>
      <c r="E23" s="12">
        <f t="shared" si="0"/>
        <v>0</v>
      </c>
      <c r="F23" s="14"/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/>
      <c r="B24" s="37" t="s">
        <v>89</v>
      </c>
      <c r="C24" s="37">
        <v>64613</v>
      </c>
      <c r="D24" s="2"/>
      <c r="E24" s="12">
        <f t="shared" si="0"/>
        <v>64613</v>
      </c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/>
      <c r="B25" s="37" t="s">
        <v>90</v>
      </c>
      <c r="C25" s="37">
        <v>0</v>
      </c>
      <c r="D25" s="2"/>
      <c r="E25" s="12">
        <f t="shared" si="0"/>
        <v>0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 t="s">
        <v>91</v>
      </c>
      <c r="B26" s="2"/>
      <c r="C26" s="2"/>
      <c r="D26" s="2"/>
      <c r="E26" s="12">
        <f t="shared" si="0"/>
        <v>0</v>
      </c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/>
      <c r="B27" s="2" t="s">
        <v>92</v>
      </c>
      <c r="C27" s="2"/>
      <c r="D27" s="2"/>
      <c r="E27" s="12">
        <f t="shared" si="0"/>
        <v>0</v>
      </c>
      <c r="F27" s="1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/>
      <c r="B28" s="2" t="s">
        <v>93</v>
      </c>
      <c r="C28" s="2">
        <v>810</v>
      </c>
      <c r="D28" s="2"/>
      <c r="E28" s="12">
        <f t="shared" si="0"/>
        <v>810</v>
      </c>
      <c r="F28" s="15"/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 t="s">
        <v>94</v>
      </c>
      <c r="B29" s="2"/>
      <c r="C29" s="2">
        <v>10944</v>
      </c>
      <c r="D29" s="2"/>
      <c r="E29" s="12">
        <f t="shared" si="0"/>
        <v>10944</v>
      </c>
      <c r="F29" s="15"/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53" t="s">
        <v>95</v>
      </c>
      <c r="B30" s="54"/>
      <c r="C30" s="55">
        <f>C18-C19+C20+C22+C21+C24+C25+C27+C28-C29</f>
        <v>201652.09400000001</v>
      </c>
      <c r="D30" s="55"/>
      <c r="E30" s="55">
        <f>C30</f>
        <v>201652.09400000001</v>
      </c>
      <c r="F30" s="56"/>
      <c r="G30" s="2"/>
      <c r="H30" s="13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96</v>
      </c>
      <c r="B31" s="47"/>
      <c r="C31" s="47">
        <f>3400+494+309+257</f>
        <v>4460</v>
      </c>
      <c r="D31" s="57"/>
      <c r="E31" s="57"/>
      <c r="F31" s="15"/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97</v>
      </c>
      <c r="B32" s="47"/>
      <c r="C32" s="57">
        <f>C30-C31</f>
        <v>197192.09400000001</v>
      </c>
      <c r="D32" s="57"/>
      <c r="E32" s="57"/>
      <c r="F32" s="14"/>
      <c r="G32" s="2"/>
      <c r="H32" s="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4" t="s">
        <v>98</v>
      </c>
      <c r="B33" s="5"/>
      <c r="C33" s="83">
        <f>E18/SUM(C17:D17)</f>
        <v>273.01</v>
      </c>
      <c r="D33" s="5"/>
      <c r="E33" s="5"/>
      <c r="F33" s="63"/>
      <c r="G33" s="2"/>
      <c r="H33" s="2"/>
      <c r="I33" s="2"/>
      <c r="J33" s="5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18"/>
      <c r="I34" s="18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17" t="s">
        <v>99</v>
      </c>
      <c r="B35" s="217"/>
      <c r="C35" s="217"/>
      <c r="D35" s="217"/>
      <c r="E35" s="217"/>
      <c r="F35" s="217"/>
      <c r="G35" s="217"/>
      <c r="H35" s="2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2"/>
      <c r="C36" s="2"/>
      <c r="D36" s="2"/>
      <c r="E36" s="2"/>
      <c r="F36" s="2"/>
      <c r="G36" s="2"/>
      <c r="H36" s="18"/>
      <c r="I36" s="18"/>
      <c r="J36" s="18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9" t="s">
        <v>100</v>
      </c>
      <c r="C37" s="19"/>
      <c r="D37" s="19"/>
      <c r="E37" s="19"/>
      <c r="F37" s="19"/>
      <c r="G37" s="19"/>
      <c r="H37" s="20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1"/>
      <c r="C38" s="22" t="s">
        <v>26</v>
      </c>
      <c r="D38" s="2"/>
      <c r="E38" s="23" t="s">
        <v>27</v>
      </c>
      <c r="F38" s="23"/>
      <c r="G38" s="23"/>
      <c r="H38" s="24" t="s">
        <v>28</v>
      </c>
      <c r="I38" s="18"/>
      <c r="J38" s="22"/>
      <c r="K38" s="22"/>
      <c r="L38" s="6"/>
      <c r="M38" s="6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5" t="s">
        <v>101</v>
      </c>
      <c r="C39" s="26" t="s">
        <v>29</v>
      </c>
      <c r="D39" s="26" t="s">
        <v>30</v>
      </c>
      <c r="E39" s="26" t="s">
        <v>31</v>
      </c>
      <c r="F39" s="26" t="s">
        <v>32</v>
      </c>
      <c r="G39" s="5" t="s">
        <v>33</v>
      </c>
      <c r="H39" s="27" t="s">
        <v>34</v>
      </c>
      <c r="I39" s="18"/>
      <c r="J39" s="28"/>
      <c r="K39" s="22"/>
      <c r="L39" s="22"/>
      <c r="M39" s="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9">
        <v>2.8</v>
      </c>
      <c r="C40" s="30"/>
      <c r="D40" s="31" t="str">
        <f>IF(C40&lt;C15,"Yes","No")</f>
        <v>Yes</v>
      </c>
      <c r="E40" s="32">
        <v>2.8</v>
      </c>
      <c r="F40" s="12"/>
      <c r="G40" s="32"/>
      <c r="H40" s="33">
        <v>2.8</v>
      </c>
      <c r="I40" s="18"/>
      <c r="J40" s="34"/>
      <c r="K40" s="34"/>
      <c r="L40" s="13"/>
      <c r="M40" s="34"/>
      <c r="N40" s="3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9">
        <v>5.3</v>
      </c>
      <c r="C41" s="30">
        <v>207.29</v>
      </c>
      <c r="D41" s="31" t="str">
        <f>IF(C41&lt;C16,"Yes","No")</f>
        <v>Yes</v>
      </c>
      <c r="E41" s="32">
        <v>5.3</v>
      </c>
      <c r="F41" s="12">
        <f>E41*C41</f>
        <v>1098.6369999999999</v>
      </c>
      <c r="G41" s="32">
        <f>F41/C15</f>
        <v>4.0241639500384601</v>
      </c>
      <c r="H41" s="33">
        <f>E41-G41</f>
        <v>1.2758360499615398</v>
      </c>
      <c r="I41" s="18"/>
      <c r="J41" s="34"/>
      <c r="K41" s="34"/>
      <c r="L41" s="13"/>
      <c r="M41" s="34"/>
      <c r="N41" s="3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9"/>
      <c r="C42" s="30"/>
      <c r="D42" s="31"/>
      <c r="E42" s="32"/>
      <c r="F42" s="12"/>
      <c r="G42" s="32"/>
      <c r="H42" s="33"/>
      <c r="I42" s="18"/>
      <c r="J42" s="34"/>
      <c r="K42" s="34"/>
      <c r="L42" s="13"/>
      <c r="M42" s="34"/>
      <c r="N42" s="3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9"/>
      <c r="C43" s="30"/>
      <c r="D43" s="31"/>
      <c r="E43" s="32"/>
      <c r="F43" s="12"/>
      <c r="G43" s="32"/>
      <c r="H43" s="33"/>
      <c r="I43" s="18"/>
      <c r="J43" s="34"/>
      <c r="K43" s="34"/>
      <c r="L43" s="13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9"/>
      <c r="C44" s="30"/>
      <c r="D44" s="31"/>
      <c r="E44" s="32"/>
      <c r="F44" s="12"/>
      <c r="G44" s="32"/>
      <c r="H44" s="33"/>
      <c r="I44" s="18"/>
      <c r="J44" s="34"/>
      <c r="K44" s="34"/>
      <c r="L44" s="13"/>
      <c r="M44" s="34"/>
      <c r="N44" s="3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5"/>
      <c r="D45" s="5"/>
      <c r="E45" s="5"/>
      <c r="F45" s="5"/>
      <c r="G45" s="5"/>
      <c r="H45" s="35">
        <f>SUM(H40:H44)</f>
        <v>4.0758360499615396</v>
      </c>
      <c r="I45" s="18"/>
      <c r="J45" s="2"/>
      <c r="K45" s="2"/>
      <c r="L45" s="2"/>
      <c r="M45" s="2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18"/>
      <c r="I46" s="18"/>
      <c r="J46" s="18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9" t="s">
        <v>102</v>
      </c>
      <c r="C47" s="19"/>
      <c r="D47" s="19"/>
      <c r="E47" s="19"/>
      <c r="F47" s="19"/>
      <c r="G47" s="20"/>
      <c r="H47" s="18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59"/>
      <c r="C48" s="60"/>
      <c r="D48" s="60"/>
      <c r="E48" s="266" t="s">
        <v>103</v>
      </c>
      <c r="F48" s="36"/>
      <c r="G48" s="267" t="s">
        <v>104</v>
      </c>
      <c r="H48" s="18"/>
      <c r="I48" s="18"/>
      <c r="J48" s="37"/>
      <c r="K48" s="37"/>
      <c r="L48" s="2"/>
      <c r="M48" s="2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1" t="s">
        <v>105</v>
      </c>
      <c r="C49" s="62" t="s">
        <v>106</v>
      </c>
      <c r="D49" s="62" t="s">
        <v>107</v>
      </c>
      <c r="E49" s="260"/>
      <c r="F49" s="37" t="s">
        <v>108</v>
      </c>
      <c r="G49" s="268"/>
      <c r="H49" s="18"/>
      <c r="I49" s="18"/>
      <c r="J49" s="37"/>
      <c r="K49" s="62"/>
      <c r="L49" s="37"/>
      <c r="M49" s="2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8"/>
      <c r="D50" s="8"/>
      <c r="E50" s="38"/>
      <c r="F50" s="39"/>
      <c r="G50" s="40"/>
      <c r="H50" s="18"/>
      <c r="I50" s="18"/>
      <c r="J50" s="2"/>
      <c r="K50" s="13"/>
      <c r="L50" s="41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8"/>
      <c r="D51" s="8"/>
      <c r="E51" s="38"/>
      <c r="F51" s="39"/>
      <c r="G51" s="40"/>
      <c r="H51" s="18"/>
      <c r="I51" s="18"/>
      <c r="J51" s="2"/>
      <c r="K51" s="13"/>
      <c r="L51" s="41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8"/>
      <c r="D52" s="8"/>
      <c r="E52" s="38"/>
      <c r="F52" s="42"/>
      <c r="G52" s="40"/>
      <c r="H52" s="18"/>
      <c r="I52" s="18"/>
      <c r="J52" s="2"/>
      <c r="K52" s="13"/>
      <c r="L52" s="41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3"/>
      <c r="D53" s="43"/>
      <c r="E53" s="43"/>
      <c r="F53" s="44"/>
      <c r="G53" s="45"/>
      <c r="H53" s="18"/>
      <c r="I53" s="18"/>
      <c r="J53" s="2"/>
      <c r="K53" s="13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18"/>
      <c r="I55" s="18"/>
      <c r="J55" s="18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18"/>
      <c r="I56" s="18"/>
      <c r="J56" s="18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109</v>
      </c>
      <c r="B57" s="1"/>
      <c r="C57" s="1"/>
      <c r="D57" s="1"/>
      <c r="E57" s="1"/>
      <c r="F57" s="1"/>
      <c r="G57" s="1"/>
      <c r="H57" s="113" t="s">
        <v>110</v>
      </c>
      <c r="I57" s="113" t="s">
        <v>111</v>
      </c>
      <c r="J57" s="113" t="s">
        <v>112</v>
      </c>
      <c r="K57" s="86" t="s">
        <v>35</v>
      </c>
      <c r="L57" s="113" t="s">
        <v>113</v>
      </c>
      <c r="M57" s="113" t="s">
        <v>114</v>
      </c>
      <c r="N57" s="113" t="s">
        <v>115</v>
      </c>
      <c r="O57" s="1"/>
      <c r="P57" s="112" t="s">
        <v>135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114" t="s">
        <v>116</v>
      </c>
      <c r="I58" s="114"/>
      <c r="J58" s="114"/>
      <c r="K58" s="114"/>
      <c r="L58" s="127">
        <v>45657</v>
      </c>
      <c r="M58" s="127">
        <f t="shared" ref="M58:N58" si="1">EDATE(L58,12)</f>
        <v>46022</v>
      </c>
      <c r="N58" s="127">
        <f t="shared" si="1"/>
        <v>46387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120"/>
      <c r="I59" s="120"/>
      <c r="J59" s="120"/>
      <c r="K59" s="120"/>
      <c r="L59" s="120"/>
      <c r="M59" s="120"/>
      <c r="N59" s="120"/>
      <c r="O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87" customFormat="1" ht="15.75" customHeight="1">
      <c r="A60" s="47" t="s">
        <v>117</v>
      </c>
      <c r="B60" s="47"/>
      <c r="C60" s="47"/>
      <c r="D60" s="47"/>
      <c r="E60" s="47"/>
      <c r="F60" s="47"/>
      <c r="G60" s="47"/>
      <c r="H60" s="116">
        <v>28190</v>
      </c>
      <c r="I60" s="116"/>
      <c r="J60" s="117"/>
      <c r="K60" s="278">
        <f>H60</f>
        <v>28190</v>
      </c>
      <c r="L60" s="279">
        <v>32139</v>
      </c>
      <c r="M60" s="279">
        <v>34034</v>
      </c>
      <c r="N60" s="279">
        <v>36108</v>
      </c>
      <c r="O60" s="88"/>
      <c r="P60" s="104">
        <f>(N60/H60)^(1/3)-1</f>
        <v>8.6015739068475261E-2</v>
      </c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20.5" customHeight="1">
      <c r="A61" s="2"/>
      <c r="B61" s="2"/>
      <c r="C61" s="2"/>
      <c r="D61" s="2"/>
      <c r="E61" s="2"/>
      <c r="F61" s="2"/>
      <c r="G61" s="2"/>
      <c r="H61" s="119"/>
      <c r="I61" s="119"/>
      <c r="J61" s="119"/>
      <c r="K61" s="278">
        <f t="shared" ref="K61:K77" si="2">H61</f>
        <v>0</v>
      </c>
      <c r="L61" s="280"/>
      <c r="M61" s="280"/>
      <c r="N61" s="280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 t="s">
        <v>118</v>
      </c>
      <c r="B62" s="2"/>
      <c r="C62" s="2"/>
      <c r="D62" s="2"/>
      <c r="E62" s="2"/>
      <c r="F62" s="2"/>
      <c r="G62" s="2"/>
      <c r="H62" s="121">
        <v>7897</v>
      </c>
      <c r="I62" s="121"/>
      <c r="J62" s="121"/>
      <c r="K62" s="278">
        <f t="shared" si="2"/>
        <v>7897</v>
      </c>
      <c r="L62" s="280"/>
      <c r="M62" s="280"/>
      <c r="N62" s="280"/>
      <c r="O62" s="2"/>
      <c r="P62" s="47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 t="s">
        <v>119</v>
      </c>
      <c r="B63" s="47"/>
      <c r="C63" s="47"/>
      <c r="D63" s="47"/>
      <c r="E63" s="47"/>
      <c r="F63" s="47"/>
      <c r="G63" s="47"/>
      <c r="H63" s="121">
        <v>5502</v>
      </c>
      <c r="I63" s="121"/>
      <c r="J63" s="121"/>
      <c r="K63" s="278">
        <f t="shared" si="2"/>
        <v>5502</v>
      </c>
      <c r="L63" s="281"/>
      <c r="M63" s="281"/>
      <c r="N63" s="281"/>
      <c r="O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s="87" customFormat="1" ht="15.75" customHeight="1">
      <c r="A64" s="47" t="s">
        <v>120</v>
      </c>
      <c r="B64" s="47"/>
      <c r="C64" s="47"/>
      <c r="D64" s="47"/>
      <c r="E64" s="47"/>
      <c r="F64" s="47"/>
      <c r="G64" s="47"/>
      <c r="H64" s="118">
        <f>H63+H62</f>
        <v>13399</v>
      </c>
      <c r="I64" s="118"/>
      <c r="J64" s="118"/>
      <c r="K64" s="278">
        <f t="shared" si="2"/>
        <v>13399</v>
      </c>
      <c r="L64" s="282">
        <v>14495</v>
      </c>
      <c r="M64" s="282">
        <v>15667</v>
      </c>
      <c r="N64" s="282">
        <v>16960</v>
      </c>
      <c r="O64" s="57"/>
      <c r="P64" s="104">
        <f>(N64/H64)^(1/3)-1</f>
        <v>8.1727374601953562E-2</v>
      </c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" t="s">
        <v>121</v>
      </c>
      <c r="B65" s="2"/>
      <c r="C65" s="2"/>
      <c r="D65" s="2"/>
      <c r="E65" s="2"/>
      <c r="F65" s="2"/>
      <c r="G65" s="2"/>
      <c r="H65" s="121">
        <f>685+186+3200</f>
        <v>4071</v>
      </c>
      <c r="I65" s="121"/>
      <c r="J65" s="121"/>
      <c r="K65" s="278">
        <f t="shared" si="2"/>
        <v>4071</v>
      </c>
      <c r="L65" s="280">
        <f>510+4800</f>
        <v>5310</v>
      </c>
      <c r="M65" s="280">
        <f>4500+563</f>
        <v>5063</v>
      </c>
      <c r="N65" s="280">
        <f>620+3900</f>
        <v>4520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87" customFormat="1" ht="15.75" customHeight="1">
      <c r="A66" s="47" t="s">
        <v>122</v>
      </c>
      <c r="B66" s="47"/>
      <c r="C66" s="47"/>
      <c r="D66" s="47"/>
      <c r="E66" s="47"/>
      <c r="F66" s="47"/>
      <c r="G66" s="47"/>
      <c r="H66" s="118">
        <f>H64+H65</f>
        <v>17470</v>
      </c>
      <c r="I66" s="118"/>
      <c r="J66" s="118"/>
      <c r="K66" s="278">
        <f t="shared" si="2"/>
        <v>17470</v>
      </c>
      <c r="L66" s="282">
        <f>L64+L65</f>
        <v>19805</v>
      </c>
      <c r="M66" s="282">
        <f t="shared" ref="M66:N66" si="3">M64+M65</f>
        <v>20730</v>
      </c>
      <c r="N66" s="282">
        <f t="shared" si="3"/>
        <v>21480</v>
      </c>
      <c r="O66" s="57"/>
      <c r="P66" s="104">
        <f>(N66/H66)^(1/3)-1</f>
        <v>7.1306625166648541E-2</v>
      </c>
      <c r="Q66" s="47"/>
      <c r="R66" s="57"/>
      <c r="S66" s="47"/>
      <c r="T66" s="47"/>
      <c r="U66" s="47"/>
      <c r="V66" s="47"/>
      <c r="W66" s="47"/>
      <c r="X66" s="47"/>
      <c r="Y66" s="47"/>
      <c r="Z66" s="47"/>
    </row>
    <row r="67" spans="1:26" ht="22.5" customHeight="1">
      <c r="A67" s="2"/>
      <c r="B67" s="2"/>
      <c r="C67" s="2"/>
      <c r="D67" s="2"/>
      <c r="E67" s="2"/>
      <c r="F67" s="2"/>
      <c r="G67" s="2"/>
      <c r="H67" s="119"/>
      <c r="I67" s="119"/>
      <c r="J67" s="119"/>
      <c r="K67" s="278">
        <f t="shared" si="2"/>
        <v>0</v>
      </c>
      <c r="L67" s="280"/>
      <c r="M67" s="280"/>
      <c r="N67" s="280"/>
      <c r="O67" s="2"/>
      <c r="P67" s="2"/>
      <c r="Q67" s="13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 t="s">
        <v>123</v>
      </c>
      <c r="B68" s="2"/>
      <c r="C68" s="2"/>
      <c r="D68" s="2"/>
      <c r="E68" s="2"/>
      <c r="F68" s="2"/>
      <c r="G68" s="2"/>
      <c r="H68" s="121">
        <f>6717</f>
        <v>6717</v>
      </c>
      <c r="I68" s="121"/>
      <c r="J68" s="121"/>
      <c r="K68" s="278">
        <f t="shared" si="2"/>
        <v>6717</v>
      </c>
      <c r="L68" s="280"/>
      <c r="M68" s="280"/>
      <c r="N68" s="280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124</v>
      </c>
      <c r="B69" s="2"/>
      <c r="C69" s="2"/>
      <c r="D69" s="2"/>
      <c r="E69" s="2"/>
      <c r="F69" s="2"/>
      <c r="G69" s="2"/>
      <c r="H69" s="125">
        <f>-(-3878-84-661-879-5502+5502)</f>
        <v>5502</v>
      </c>
      <c r="I69" s="125"/>
      <c r="J69" s="125"/>
      <c r="K69" s="278">
        <f t="shared" si="2"/>
        <v>5502</v>
      </c>
      <c r="L69" s="280"/>
      <c r="M69" s="280"/>
      <c r="N69" s="280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125</v>
      </c>
      <c r="B70" s="2"/>
      <c r="C70" s="2"/>
      <c r="D70" s="2"/>
      <c r="E70" s="2"/>
      <c r="F70" s="2"/>
      <c r="G70" s="2"/>
      <c r="H70" s="121">
        <f>807-2147+4162+3317-H69</f>
        <v>637</v>
      </c>
      <c r="I70" s="121"/>
      <c r="J70" s="121"/>
      <c r="K70" s="278">
        <f t="shared" si="2"/>
        <v>637</v>
      </c>
      <c r="L70" s="280"/>
      <c r="M70" s="280"/>
      <c r="N70" s="28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126</v>
      </c>
      <c r="B71" s="2"/>
      <c r="C71" s="2"/>
      <c r="D71" s="2"/>
      <c r="E71" s="2"/>
      <c r="F71" s="2"/>
      <c r="G71" s="2"/>
      <c r="H71" s="125">
        <f>-845</f>
        <v>-845</v>
      </c>
      <c r="I71" s="125"/>
      <c r="J71" s="125"/>
      <c r="K71" s="278">
        <f t="shared" si="2"/>
        <v>-845</v>
      </c>
      <c r="L71" s="280"/>
      <c r="M71" s="280"/>
      <c r="N71" s="28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 t="s">
        <v>127</v>
      </c>
      <c r="B72" s="2"/>
      <c r="C72" s="2"/>
      <c r="D72" s="2"/>
      <c r="E72" s="2"/>
      <c r="F72" s="2"/>
      <c r="G72" s="2"/>
      <c r="H72" s="121">
        <v>-1138</v>
      </c>
      <c r="I72" s="121"/>
      <c r="J72" s="121"/>
      <c r="K72" s="278">
        <f t="shared" si="2"/>
        <v>-1138</v>
      </c>
      <c r="L72" s="280"/>
      <c r="M72" s="280"/>
      <c r="N72" s="280"/>
      <c r="O72" s="2"/>
      <c r="P72" s="47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87" customFormat="1" ht="15.75" customHeight="1">
      <c r="A73" s="47" t="s">
        <v>128</v>
      </c>
      <c r="B73" s="47"/>
      <c r="C73" s="47"/>
      <c r="D73" s="47"/>
      <c r="E73" s="47"/>
      <c r="F73" s="47"/>
      <c r="G73" s="47"/>
      <c r="H73" s="118">
        <f>SUM(H68:H72)</f>
        <v>10873</v>
      </c>
      <c r="I73" s="118"/>
      <c r="J73" s="118"/>
      <c r="K73" s="278">
        <f t="shared" si="2"/>
        <v>10873</v>
      </c>
      <c r="L73" s="281">
        <v>9380</v>
      </c>
      <c r="M73" s="281">
        <v>10352</v>
      </c>
      <c r="N73" s="281">
        <v>11549</v>
      </c>
      <c r="O73" s="47"/>
      <c r="P73" s="104">
        <f>(N73/H73)^(1/3)-1</f>
        <v>2.0308875294993589E-2</v>
      </c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2" t="s">
        <v>129</v>
      </c>
      <c r="B74" s="2"/>
      <c r="C74" s="2"/>
      <c r="D74" s="2"/>
      <c r="E74" s="2"/>
      <c r="F74" s="2"/>
      <c r="G74" s="2"/>
      <c r="H74" s="121">
        <f>0</f>
        <v>0</v>
      </c>
      <c r="I74" s="121"/>
      <c r="J74" s="121"/>
      <c r="K74" s="278">
        <f t="shared" si="2"/>
        <v>0</v>
      </c>
      <c r="L74" s="280"/>
      <c r="M74" s="280"/>
      <c r="N74" s="280"/>
      <c r="O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87" customFormat="1" ht="15.75" customHeight="1">
      <c r="A75" s="47" t="s">
        <v>130</v>
      </c>
      <c r="B75" s="47"/>
      <c r="C75" s="47"/>
      <c r="D75" s="47"/>
      <c r="E75" s="47"/>
      <c r="F75" s="47"/>
      <c r="G75" s="47"/>
      <c r="H75" s="118">
        <f>H73-H74</f>
        <v>10873</v>
      </c>
      <c r="I75" s="118"/>
      <c r="J75" s="118"/>
      <c r="K75" s="278">
        <f t="shared" si="2"/>
        <v>10873</v>
      </c>
      <c r="L75" s="282">
        <f>L73</f>
        <v>9380</v>
      </c>
      <c r="M75" s="282">
        <f t="shared" ref="M75:N75" si="4">M73</f>
        <v>10352</v>
      </c>
      <c r="N75" s="282">
        <f t="shared" si="4"/>
        <v>11549</v>
      </c>
      <c r="O75" s="57"/>
      <c r="P75" s="2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2"/>
      <c r="B76" s="2"/>
      <c r="C76" s="2"/>
      <c r="D76" s="2"/>
      <c r="E76" s="2"/>
      <c r="F76" s="2"/>
      <c r="G76" s="2"/>
      <c r="H76" s="119"/>
      <c r="I76" s="119"/>
      <c r="J76" s="119"/>
      <c r="K76" s="278">
        <f t="shared" si="2"/>
        <v>0</v>
      </c>
      <c r="L76" s="280"/>
      <c r="M76" s="280"/>
      <c r="N76" s="28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87" customFormat="1" ht="15.75" customHeight="1">
      <c r="A77" s="47" t="s">
        <v>131</v>
      </c>
      <c r="B77" s="47"/>
      <c r="C77" s="47"/>
      <c r="D77" s="47"/>
      <c r="E77" s="47"/>
      <c r="F77" s="47"/>
      <c r="G77" s="47"/>
      <c r="H77" s="116">
        <f>C17</f>
        <v>539.07583604996159</v>
      </c>
      <c r="I77" s="116"/>
      <c r="J77" s="116"/>
      <c r="K77" s="278">
        <f t="shared" si="2"/>
        <v>539.07583604996159</v>
      </c>
      <c r="L77" s="282">
        <f>K77</f>
        <v>539.07583604996159</v>
      </c>
      <c r="M77" s="282">
        <f>L77</f>
        <v>539.07583604996159</v>
      </c>
      <c r="N77" s="282">
        <f>M77</f>
        <v>539.07583604996159</v>
      </c>
      <c r="O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s="87" customFormat="1" ht="15.75" customHeight="1">
      <c r="A78" s="47" t="s">
        <v>132</v>
      </c>
      <c r="B78" s="47"/>
      <c r="C78" s="47"/>
      <c r="D78" s="47"/>
      <c r="E78" s="47"/>
      <c r="F78" s="47"/>
      <c r="G78" s="47"/>
      <c r="H78" s="126">
        <f>H75/H77</f>
        <v>20.169703913406888</v>
      </c>
      <c r="I78" s="126"/>
      <c r="J78" s="126"/>
      <c r="K78" s="283">
        <f>H78</f>
        <v>20.169703913406888</v>
      </c>
      <c r="L78" s="284">
        <f>L75/L77</f>
        <v>17.400149241953152</v>
      </c>
      <c r="M78" s="284">
        <f t="shared" ref="M78:N78" si="5">M75/M77</f>
        <v>19.203235069584117</v>
      </c>
      <c r="N78" s="284">
        <f t="shared" si="5"/>
        <v>21.423701875833363</v>
      </c>
      <c r="O78" s="47"/>
      <c r="P78" s="104">
        <f>(N78/H78)^(1/3)-1</f>
        <v>2.0308875294993589E-2</v>
      </c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2"/>
      <c r="B79" s="2"/>
      <c r="C79" s="2"/>
      <c r="D79" s="2"/>
      <c r="E79" s="2"/>
      <c r="F79" s="2"/>
      <c r="G79" s="2"/>
      <c r="H79" s="119"/>
      <c r="I79" s="119"/>
      <c r="J79" s="119"/>
      <c r="K79" s="119"/>
      <c r="L79" s="120"/>
      <c r="M79" s="120"/>
      <c r="N79" s="120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7" t="s">
        <v>168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7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7">
    <mergeCell ref="M48:M49"/>
    <mergeCell ref="C4:F4"/>
    <mergeCell ref="A1:B1"/>
    <mergeCell ref="A2:B2"/>
    <mergeCell ref="G13:I13"/>
    <mergeCell ref="E48:E49"/>
    <mergeCell ref="G48:G4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69" zoomScale="79" zoomScaleNormal="70" workbookViewId="0">
      <selection activeCell="L79" sqref="L79"/>
    </sheetView>
  </sheetViews>
  <sheetFormatPr defaultColWidth="14.453125" defaultRowHeight="15" customHeight="1"/>
  <cols>
    <col min="1" max="1" width="3.453125" style="48" customWidth="1"/>
    <col min="2" max="2" width="33.54296875" style="48" customWidth="1"/>
    <col min="3" max="3" width="11.453125" style="48" customWidth="1"/>
    <col min="4" max="4" width="10.08984375" style="48" customWidth="1"/>
    <col min="5" max="5" width="12" style="48" customWidth="1"/>
    <col min="6" max="6" width="11.453125" style="48" customWidth="1"/>
    <col min="7" max="7" width="13.453125" style="48" customWidth="1"/>
    <col min="8" max="8" width="14" style="48" customWidth="1"/>
    <col min="9" max="9" width="13" style="48" customWidth="1"/>
    <col min="10" max="10" width="9.54296875" style="48" customWidth="1"/>
    <col min="11" max="11" width="12" style="48" customWidth="1"/>
    <col min="12" max="14" width="12.7265625" style="48" customWidth="1"/>
    <col min="15" max="26" width="11.453125" style="48" customWidth="1"/>
    <col min="27" max="16384" width="14.453125" style="48"/>
  </cols>
  <sheetData>
    <row r="1" spans="1:26" ht="26" customHeight="1">
      <c r="A1" s="64" t="s">
        <v>142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6" t="s">
        <v>139</v>
      </c>
      <c r="B2" s="65"/>
      <c r="C2" s="65"/>
      <c r="D2" s="65"/>
      <c r="E2" s="65"/>
      <c r="F2" s="6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9" t="s">
        <v>71</v>
      </c>
      <c r="B4" s="90"/>
      <c r="C4" s="90"/>
      <c r="D4" s="90"/>
      <c r="E4" s="90"/>
      <c r="F4" s="9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72</v>
      </c>
      <c r="B5" s="2"/>
      <c r="C5" s="2"/>
      <c r="D5" s="152"/>
      <c r="E5" s="92" t="s">
        <v>154</v>
      </c>
      <c r="F5" s="15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73</v>
      </c>
      <c r="B6" s="2"/>
      <c r="C6" s="2"/>
      <c r="D6" s="143"/>
      <c r="E6" s="93">
        <v>45406</v>
      </c>
      <c r="F6" s="14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74</v>
      </c>
      <c r="B7" s="2"/>
      <c r="C7" s="2"/>
      <c r="D7" s="143"/>
      <c r="E7" s="93" t="s">
        <v>157</v>
      </c>
      <c r="F7" s="14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75</v>
      </c>
      <c r="B8" s="2"/>
      <c r="C8" s="2"/>
      <c r="D8" s="143"/>
      <c r="E8" s="93">
        <v>45291</v>
      </c>
      <c r="F8" s="14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76</v>
      </c>
      <c r="B9" s="2"/>
      <c r="C9" s="2"/>
      <c r="D9" s="143"/>
      <c r="E9" s="93">
        <v>45291</v>
      </c>
      <c r="F9" s="14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 t="s">
        <v>59</v>
      </c>
      <c r="B10" s="2"/>
      <c r="C10" s="2"/>
      <c r="D10" s="143"/>
      <c r="E10" s="93" t="s">
        <v>43</v>
      </c>
      <c r="F10" s="14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4" t="s">
        <v>77</v>
      </c>
      <c r="B11" s="5"/>
      <c r="C11" s="5"/>
      <c r="D11" s="150"/>
      <c r="E11" s="95">
        <v>0.21</v>
      </c>
      <c r="F11" s="15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65"/>
      <c r="H13" s="260"/>
      <c r="I13" s="26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9" t="s">
        <v>78</v>
      </c>
      <c r="B14" s="19"/>
      <c r="C14" s="50" t="s">
        <v>79</v>
      </c>
      <c r="D14" s="50" t="s">
        <v>80</v>
      </c>
      <c r="E14" s="50" t="s">
        <v>81</v>
      </c>
      <c r="F14" s="20"/>
      <c r="G14" s="2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82</v>
      </c>
      <c r="B15" s="2"/>
      <c r="C15" s="8">
        <v>167.8</v>
      </c>
      <c r="D15" s="8"/>
      <c r="E15" s="8"/>
      <c r="F15" s="9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83</v>
      </c>
      <c r="B16" s="2"/>
      <c r="C16" s="8">
        <v>1766</v>
      </c>
      <c r="D16" s="8"/>
      <c r="E16" s="8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84</v>
      </c>
      <c r="B17" s="2"/>
      <c r="C17" s="12">
        <f>C16+H45+G53</f>
        <v>1772.119584386174</v>
      </c>
      <c r="D17" s="12"/>
      <c r="E17" s="12"/>
      <c r="F17" s="11"/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64</v>
      </c>
      <c r="B18" s="2"/>
      <c r="C18" s="12">
        <f>C17*C15</f>
        <v>297361.66626000003</v>
      </c>
      <c r="D18" s="12"/>
      <c r="E18" s="12"/>
      <c r="F18" s="14">
        <f>SUM(C18:E18)</f>
        <v>297361.66626000003</v>
      </c>
      <c r="G18" s="2"/>
      <c r="H18" s="2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 t="s">
        <v>3</v>
      </c>
      <c r="B19" s="2"/>
      <c r="C19" s="2"/>
      <c r="D19" s="13"/>
      <c r="E19" s="13"/>
      <c r="F19" s="15">
        <v>37</v>
      </c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 t="s">
        <v>85</v>
      </c>
      <c r="B20" s="2"/>
      <c r="C20" s="2"/>
      <c r="D20" s="13"/>
      <c r="E20" s="13"/>
      <c r="F20" s="14">
        <f>E21</f>
        <v>0</v>
      </c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/>
      <c r="B21" s="2" t="s">
        <v>86</v>
      </c>
      <c r="C21" s="2"/>
      <c r="D21" s="2"/>
      <c r="E21" s="51">
        <v>0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/>
      <c r="B22" s="37" t="s">
        <v>87</v>
      </c>
      <c r="C22" s="2"/>
      <c r="D22" s="2"/>
      <c r="E22" s="52">
        <v>0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 t="s">
        <v>88</v>
      </c>
      <c r="B23" s="2"/>
      <c r="C23" s="2"/>
      <c r="D23" s="2"/>
      <c r="E23" s="13"/>
      <c r="F23" s="14">
        <v>59385</v>
      </c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/>
      <c r="B24" s="37" t="s">
        <v>89</v>
      </c>
      <c r="C24" s="37"/>
      <c r="D24" s="2"/>
      <c r="E24" s="51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/>
      <c r="B25" s="37" t="s">
        <v>90</v>
      </c>
      <c r="C25" s="37"/>
      <c r="D25" s="2"/>
      <c r="E25" s="52">
        <v>0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 t="s">
        <v>91</v>
      </c>
      <c r="B26" s="2"/>
      <c r="C26" s="2"/>
      <c r="D26" s="2"/>
      <c r="E26" s="13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/>
      <c r="B27" s="2" t="s">
        <v>92</v>
      </c>
      <c r="C27" s="2"/>
      <c r="D27" s="2"/>
      <c r="E27" s="13"/>
      <c r="F27" s="15">
        <f>295-796</f>
        <v>-501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/>
      <c r="B28" s="2" t="s">
        <v>93</v>
      </c>
      <c r="C28" s="2"/>
      <c r="D28" s="2"/>
      <c r="E28" s="2"/>
      <c r="F28" s="15">
        <v>901</v>
      </c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 t="s">
        <v>94</v>
      </c>
      <c r="B29" s="2"/>
      <c r="C29" s="2"/>
      <c r="D29" s="2"/>
      <c r="E29" s="13"/>
      <c r="F29" s="15">
        <v>12814</v>
      </c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3" t="s">
        <v>95</v>
      </c>
      <c r="B30" s="54"/>
      <c r="C30" s="54"/>
      <c r="D30" s="55"/>
      <c r="E30" s="55"/>
      <c r="F30" s="56">
        <f>F18+F19+F20+F23+F27+F28-F29</f>
        <v>344369.66626000003</v>
      </c>
      <c r="G30" s="2"/>
      <c r="H30" s="2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96</v>
      </c>
      <c r="B31" s="47"/>
      <c r="C31" s="47"/>
      <c r="D31" s="57"/>
      <c r="E31" s="57"/>
      <c r="F31" s="15">
        <f>304+2</f>
        <v>306</v>
      </c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97</v>
      </c>
      <c r="B32" s="47"/>
      <c r="C32" s="47"/>
      <c r="D32" s="57"/>
      <c r="E32" s="57"/>
      <c r="F32" s="14">
        <f>F30-F31</f>
        <v>344063.66626000003</v>
      </c>
      <c r="G32" s="2"/>
      <c r="H32" s="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4" t="s">
        <v>98</v>
      </c>
      <c r="B33" s="5"/>
      <c r="C33" s="5"/>
      <c r="D33" s="5"/>
      <c r="E33" s="5"/>
      <c r="F33" s="17">
        <f>F18/SUM(C17:E17)</f>
        <v>167.8</v>
      </c>
      <c r="G33" s="2"/>
      <c r="H33" s="2"/>
      <c r="I33" s="2"/>
      <c r="J33" s="5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18"/>
      <c r="I34" s="18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17" t="s">
        <v>99</v>
      </c>
      <c r="B35" s="217"/>
      <c r="C35" s="217"/>
      <c r="D35" s="217"/>
      <c r="E35" s="217"/>
      <c r="F35" s="217"/>
      <c r="G35" s="217"/>
      <c r="H35" s="2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2"/>
      <c r="C36" s="2"/>
      <c r="D36" s="2"/>
      <c r="E36" s="2"/>
      <c r="F36" s="2"/>
      <c r="G36" s="2"/>
      <c r="H36" s="18"/>
      <c r="I36" s="18"/>
      <c r="J36" s="18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9" t="s">
        <v>133</v>
      </c>
      <c r="C37" s="19"/>
      <c r="D37" s="19"/>
      <c r="E37" s="19"/>
      <c r="F37" s="19"/>
      <c r="G37" s="19"/>
      <c r="H37" s="20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1"/>
      <c r="C38" s="22" t="s">
        <v>26</v>
      </c>
      <c r="D38" s="2"/>
      <c r="E38" s="23" t="s">
        <v>27</v>
      </c>
      <c r="F38" s="23"/>
      <c r="G38" s="23"/>
      <c r="H38" s="24" t="s">
        <v>28</v>
      </c>
      <c r="I38" s="18"/>
      <c r="J38" s="22"/>
      <c r="K38" s="22"/>
      <c r="L38" s="6"/>
      <c r="M38" s="6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thickBot="1">
      <c r="A39" s="2"/>
      <c r="B39" s="25" t="s">
        <v>101</v>
      </c>
      <c r="C39" s="26" t="s">
        <v>29</v>
      </c>
      <c r="D39" s="96" t="s">
        <v>30</v>
      </c>
      <c r="E39" s="26" t="s">
        <v>31</v>
      </c>
      <c r="F39" s="26" t="s">
        <v>32</v>
      </c>
      <c r="G39" s="5" t="s">
        <v>33</v>
      </c>
      <c r="H39" s="27" t="s">
        <v>34</v>
      </c>
      <c r="I39" s="18"/>
      <c r="J39" s="28"/>
      <c r="K39" s="22"/>
      <c r="L39" s="22"/>
      <c r="M39" s="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9">
        <f>(10739*0.3)/1000</f>
        <v>3.2216999999999998</v>
      </c>
      <c r="C40" s="30"/>
      <c r="D40" s="31" t="str">
        <f t="shared" ref="D40:D41" si="0">IF(C40&lt;$C$15,"Yes","N0")</f>
        <v>Yes</v>
      </c>
      <c r="E40" s="32">
        <f t="shared" ref="E40:E41" si="1">IF(D40="Yes",B40,0)</f>
        <v>3.2216999999999998</v>
      </c>
      <c r="F40" s="12">
        <f t="shared" ref="F40:F41" si="2">E40*C40</f>
        <v>0</v>
      </c>
      <c r="G40" s="32">
        <f t="shared" ref="G40" si="3">F40/$C$15</f>
        <v>0</v>
      </c>
      <c r="H40" s="33">
        <f t="shared" ref="H40" si="4">E40-G40</f>
        <v>3.2216999999999998</v>
      </c>
      <c r="I40" s="18"/>
      <c r="J40" s="34"/>
      <c r="K40" s="34"/>
      <c r="L40" s="13"/>
      <c r="M40" s="34"/>
      <c r="N40" s="3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9">
        <f>7481/1000</f>
        <v>7.4809999999999999</v>
      </c>
      <c r="C41" s="30">
        <v>102.8</v>
      </c>
      <c r="D41" s="31" t="str">
        <f t="shared" si="0"/>
        <v>Yes</v>
      </c>
      <c r="E41" s="32">
        <f t="shared" si="1"/>
        <v>7.4809999999999999</v>
      </c>
      <c r="F41" s="12">
        <f t="shared" si="2"/>
        <v>769.04679999999996</v>
      </c>
      <c r="G41" s="32">
        <f>F41/$C$15</f>
        <v>4.5831156138259832</v>
      </c>
      <c r="H41" s="33">
        <f>E41-G41</f>
        <v>2.8978843861740167</v>
      </c>
      <c r="I41" s="18"/>
      <c r="J41" s="34"/>
      <c r="K41" s="34"/>
      <c r="L41" s="13"/>
      <c r="M41" s="34"/>
      <c r="N41" s="3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9"/>
      <c r="C42" s="30"/>
      <c r="D42" s="31"/>
      <c r="E42" s="32"/>
      <c r="F42" s="12"/>
      <c r="G42" s="32"/>
      <c r="H42" s="33"/>
      <c r="I42" s="18"/>
      <c r="J42" s="34"/>
      <c r="K42" s="34"/>
      <c r="L42" s="13"/>
      <c r="M42" s="34"/>
      <c r="N42" s="3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9"/>
      <c r="C43" s="30"/>
      <c r="D43" s="31"/>
      <c r="E43" s="32"/>
      <c r="F43" s="12"/>
      <c r="G43" s="32"/>
      <c r="H43" s="33"/>
      <c r="I43" s="18"/>
      <c r="J43" s="34"/>
      <c r="K43" s="34"/>
      <c r="L43" s="13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9"/>
      <c r="C44" s="30"/>
      <c r="D44" s="31"/>
      <c r="E44" s="32"/>
      <c r="F44" s="12"/>
      <c r="G44" s="32"/>
      <c r="H44" s="33"/>
      <c r="I44" s="18"/>
      <c r="J44" s="34"/>
      <c r="K44" s="34"/>
      <c r="L44" s="13"/>
      <c r="M44" s="34"/>
      <c r="N44" s="3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5"/>
      <c r="D45" s="5"/>
      <c r="E45" s="5"/>
      <c r="F45" s="5"/>
      <c r="G45" s="5"/>
      <c r="H45" s="35">
        <f>SUM(H40:H44)</f>
        <v>6.1195843861740169</v>
      </c>
      <c r="I45" s="18"/>
      <c r="J45" s="2"/>
      <c r="K45" s="2"/>
      <c r="L45" s="2"/>
      <c r="M45" s="2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18"/>
      <c r="I46" s="18"/>
      <c r="J46" s="18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9" t="s">
        <v>102</v>
      </c>
      <c r="C47" s="19"/>
      <c r="D47" s="19"/>
      <c r="E47" s="19"/>
      <c r="F47" s="19"/>
      <c r="G47" s="20"/>
      <c r="H47" s="18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59"/>
      <c r="C48" s="60"/>
      <c r="D48" s="60"/>
      <c r="E48" s="266" t="s">
        <v>103</v>
      </c>
      <c r="F48" s="36"/>
      <c r="G48" s="267" t="s">
        <v>104</v>
      </c>
      <c r="H48" s="18"/>
      <c r="I48" s="18"/>
      <c r="J48" s="37"/>
      <c r="K48" s="37"/>
      <c r="L48" s="2"/>
      <c r="M48" s="2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1" t="s">
        <v>105</v>
      </c>
      <c r="C49" s="62" t="s">
        <v>106</v>
      </c>
      <c r="D49" s="62" t="s">
        <v>107</v>
      </c>
      <c r="E49" s="260"/>
      <c r="F49" s="37" t="s">
        <v>108</v>
      </c>
      <c r="G49" s="268"/>
      <c r="H49" s="18"/>
      <c r="I49" s="18"/>
      <c r="J49" s="37"/>
      <c r="K49" s="62"/>
      <c r="L49" s="37"/>
      <c r="M49" s="2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8"/>
      <c r="D50" s="8"/>
      <c r="E50" s="38"/>
      <c r="F50" s="39"/>
      <c r="G50" s="40"/>
      <c r="H50" s="18"/>
      <c r="I50" s="18"/>
      <c r="J50" s="2"/>
      <c r="K50" s="13"/>
      <c r="L50" s="41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8"/>
      <c r="D51" s="8"/>
      <c r="E51" s="38"/>
      <c r="F51" s="39"/>
      <c r="G51" s="40"/>
      <c r="H51" s="18"/>
      <c r="I51" s="18"/>
      <c r="J51" s="2"/>
      <c r="K51" s="13"/>
      <c r="L51" s="41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8"/>
      <c r="D52" s="8"/>
      <c r="E52" s="38"/>
      <c r="F52" s="42"/>
      <c r="G52" s="40"/>
      <c r="H52" s="18"/>
      <c r="I52" s="18"/>
      <c r="J52" s="2"/>
      <c r="K52" s="13"/>
      <c r="L52" s="41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3"/>
      <c r="D53" s="43"/>
      <c r="E53" s="43"/>
      <c r="F53" s="44"/>
      <c r="G53" s="45"/>
      <c r="H53" s="18"/>
      <c r="I53" s="18"/>
      <c r="J53" s="2"/>
      <c r="K53" s="13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18"/>
      <c r="I55" s="18"/>
      <c r="J55" s="18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18"/>
      <c r="I56" s="18"/>
      <c r="J56" s="18"/>
      <c r="K56" s="18"/>
      <c r="L56" s="270" t="s">
        <v>134</v>
      </c>
      <c r="M56" s="271"/>
      <c r="N56" s="24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109</v>
      </c>
      <c r="B57" s="1"/>
      <c r="C57" s="1"/>
      <c r="D57" s="1"/>
      <c r="E57" s="1"/>
      <c r="F57" s="1"/>
      <c r="G57" s="1"/>
      <c r="H57" s="113" t="s">
        <v>110</v>
      </c>
      <c r="I57" s="113" t="s">
        <v>111</v>
      </c>
      <c r="J57" s="113" t="s">
        <v>112</v>
      </c>
      <c r="K57" s="113" t="s">
        <v>35</v>
      </c>
      <c r="L57" s="113" t="s">
        <v>113</v>
      </c>
      <c r="M57" s="113" t="s">
        <v>114</v>
      </c>
      <c r="N57" s="113" t="s">
        <v>115</v>
      </c>
      <c r="O57" s="102"/>
      <c r="P57" s="112" t="s">
        <v>135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114" t="s">
        <v>116</v>
      </c>
      <c r="I58" s="114" t="s">
        <v>136</v>
      </c>
      <c r="J58" s="114" t="s">
        <v>136</v>
      </c>
      <c r="K58" s="132"/>
      <c r="L58" s="133">
        <v>45657</v>
      </c>
      <c r="M58" s="127">
        <f t="shared" ref="M58:N58" si="5">EDATE(L58,12)</f>
        <v>46022</v>
      </c>
      <c r="N58" s="127">
        <f t="shared" si="5"/>
        <v>46387</v>
      </c>
      <c r="O58" s="103"/>
      <c r="P58" s="47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87" customFormat="1" ht="15.75" customHeight="1">
      <c r="A59" s="47" t="s">
        <v>117</v>
      </c>
      <c r="B59" s="47"/>
      <c r="C59" s="47"/>
      <c r="D59" s="47"/>
      <c r="E59" s="47"/>
      <c r="F59" s="47"/>
      <c r="G59" s="47"/>
      <c r="H59" s="116">
        <v>54318</v>
      </c>
      <c r="I59" s="116"/>
      <c r="J59" s="117"/>
      <c r="K59" s="118">
        <f>H59+I59-J59</f>
        <v>54318</v>
      </c>
      <c r="L59" s="116">
        <v>54566</v>
      </c>
      <c r="M59" s="116">
        <v>57779</v>
      </c>
      <c r="N59" s="116">
        <v>61931</v>
      </c>
      <c r="O59" s="105"/>
      <c r="P59" s="104">
        <f>(N59/H59)^(1/3)-1</f>
        <v>4.4691611015133637E-2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6" customHeight="1">
      <c r="A60" s="2"/>
      <c r="B60" s="2"/>
      <c r="C60" s="2"/>
      <c r="D60" s="2"/>
      <c r="E60" s="2"/>
      <c r="F60" s="2"/>
      <c r="G60" s="2"/>
      <c r="H60" s="119"/>
      <c r="I60" s="119"/>
      <c r="J60" s="119"/>
      <c r="K60" s="119"/>
      <c r="L60" s="120"/>
      <c r="M60" s="120"/>
      <c r="N60" s="120"/>
      <c r="O60" s="77"/>
      <c r="P60" s="47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 customHeight="1">
      <c r="A61" s="2" t="s">
        <v>118</v>
      </c>
      <c r="B61" s="2"/>
      <c r="C61" s="2"/>
      <c r="D61" s="2"/>
      <c r="E61" s="2"/>
      <c r="F61" s="2"/>
      <c r="G61" s="2"/>
      <c r="H61" s="121">
        <v>12757</v>
      </c>
      <c r="I61" s="121"/>
      <c r="J61" s="121"/>
      <c r="K61" s="118">
        <f>H61+I61-J61</f>
        <v>12757</v>
      </c>
      <c r="L61" s="120"/>
      <c r="M61" s="120"/>
      <c r="N61" s="120"/>
      <c r="O61" s="77"/>
      <c r="P61" s="47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 t="s">
        <v>119</v>
      </c>
      <c r="B62" s="47"/>
      <c r="C62" s="47"/>
      <c r="D62" s="47"/>
      <c r="E62" s="47"/>
      <c r="F62" s="47"/>
      <c r="G62" s="47"/>
      <c r="H62" s="121">
        <f>12215-179</f>
        <v>12036</v>
      </c>
      <c r="I62" s="121"/>
      <c r="J62" s="121"/>
      <c r="K62" s="128"/>
      <c r="L62" s="124"/>
      <c r="M62" s="124"/>
      <c r="N62" s="124"/>
      <c r="O62" s="99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s="87" customFormat="1" ht="15.75" customHeight="1">
      <c r="A63" s="47" t="s">
        <v>120</v>
      </c>
      <c r="B63" s="47"/>
      <c r="C63" s="47"/>
      <c r="D63" s="47"/>
      <c r="E63" s="47"/>
      <c r="F63" s="47"/>
      <c r="G63" s="47"/>
      <c r="H63" s="118">
        <f t="shared" ref="H63" si="6">H61+H62</f>
        <v>24793</v>
      </c>
      <c r="I63" s="118"/>
      <c r="J63" s="118"/>
      <c r="K63" s="118">
        <f>H63+I63-J63</f>
        <v>24793</v>
      </c>
      <c r="L63" s="116">
        <v>25235</v>
      </c>
      <c r="M63" s="116">
        <v>27437</v>
      </c>
      <c r="N63" s="116">
        <v>30142</v>
      </c>
      <c r="O63" s="101"/>
      <c r="P63" s="104">
        <f>(N63/H63)^(1/3)-1</f>
        <v>6.7286448193716319E-2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" t="s">
        <v>121</v>
      </c>
      <c r="B64" s="2"/>
      <c r="C64" s="2"/>
      <c r="D64" s="2"/>
      <c r="E64" s="2"/>
      <c r="F64" s="2"/>
      <c r="G64" s="2"/>
      <c r="H64" s="121">
        <f>752</f>
        <v>752</v>
      </c>
      <c r="I64" s="121"/>
      <c r="J64" s="121"/>
      <c r="K64" s="119"/>
      <c r="L64" s="120"/>
      <c r="M64" s="120"/>
      <c r="N64" s="120"/>
      <c r="O64" s="77"/>
      <c r="P64" s="47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87" customFormat="1" ht="15.75" customHeight="1">
      <c r="A65" s="47" t="s">
        <v>122</v>
      </c>
      <c r="B65" s="47"/>
      <c r="C65" s="47"/>
      <c r="D65" s="47"/>
      <c r="E65" s="47"/>
      <c r="F65" s="47"/>
      <c r="G65" s="47"/>
      <c r="H65" s="118">
        <f t="shared" ref="H65" si="7">H63+H64</f>
        <v>25545</v>
      </c>
      <c r="I65" s="118"/>
      <c r="J65" s="118"/>
      <c r="K65" s="118">
        <f>H65+I65-J65</f>
        <v>25545</v>
      </c>
      <c r="L65" s="116">
        <v>26110</v>
      </c>
      <c r="M65" s="116">
        <v>28375</v>
      </c>
      <c r="N65" s="116">
        <v>30981</v>
      </c>
      <c r="O65" s="101"/>
      <c r="P65" s="104">
        <f>(N65/H65)^(1/3)-1</f>
        <v>6.6423831081314555E-2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6" customHeight="1">
      <c r="A66" s="2"/>
      <c r="B66" s="2"/>
      <c r="C66" s="2"/>
      <c r="D66" s="2"/>
      <c r="E66" s="2"/>
      <c r="F66" s="2"/>
      <c r="G66" s="2"/>
      <c r="H66" s="119"/>
      <c r="I66" s="119"/>
      <c r="J66" s="119"/>
      <c r="K66" s="119"/>
      <c r="L66" s="120"/>
      <c r="M66" s="120"/>
      <c r="N66" s="120"/>
      <c r="O66" s="77"/>
      <c r="P66" s="47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 t="s">
        <v>123</v>
      </c>
      <c r="B67" s="2"/>
      <c r="C67" s="2"/>
      <c r="D67" s="2"/>
      <c r="E67" s="2"/>
      <c r="F67" s="2"/>
      <c r="G67" s="2"/>
      <c r="H67" s="121">
        <v>4863</v>
      </c>
      <c r="I67" s="121"/>
      <c r="J67" s="121"/>
      <c r="K67" s="125">
        <f>H67+I67-J67</f>
        <v>4863</v>
      </c>
      <c r="L67" s="134">
        <v>9103</v>
      </c>
      <c r="M67" s="134">
        <v>1109</v>
      </c>
      <c r="N67" s="134">
        <v>13182</v>
      </c>
      <c r="O67" s="77"/>
      <c r="P67" s="47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 t="s">
        <v>124</v>
      </c>
      <c r="B68" s="2"/>
      <c r="C68" s="2"/>
      <c r="D68" s="2"/>
      <c r="E68" s="2"/>
      <c r="F68" s="2"/>
      <c r="G68" s="2"/>
      <c r="H68" s="121">
        <f>H62</f>
        <v>12036</v>
      </c>
      <c r="I68" s="121"/>
      <c r="J68" s="121"/>
      <c r="K68" s="120"/>
      <c r="L68" s="120"/>
      <c r="M68" s="120"/>
      <c r="N68" s="120"/>
      <c r="O68" s="77"/>
      <c r="P68" s="47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125</v>
      </c>
      <c r="B69" s="2"/>
      <c r="C69" s="2"/>
      <c r="D69" s="2"/>
      <c r="E69" s="2"/>
      <c r="F69" s="2"/>
      <c r="G69" s="2"/>
      <c r="H69" s="121">
        <v>5168</v>
      </c>
      <c r="I69" s="121"/>
      <c r="J69" s="121"/>
      <c r="K69" s="120"/>
      <c r="L69" s="120"/>
      <c r="M69" s="120"/>
      <c r="N69" s="120"/>
      <c r="O69" s="77"/>
      <c r="P69" s="47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126</v>
      </c>
      <c r="B70" s="2"/>
      <c r="C70" s="2"/>
      <c r="D70" s="2"/>
      <c r="E70" s="2"/>
      <c r="F70" s="2"/>
      <c r="G70" s="2"/>
      <c r="H70" s="121">
        <v>-2298</v>
      </c>
      <c r="I70" s="121"/>
      <c r="J70" s="121"/>
      <c r="K70" s="120"/>
      <c r="L70" s="120"/>
      <c r="M70" s="120"/>
      <c r="N70" s="120"/>
      <c r="O70" s="77"/>
      <c r="P70" s="47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127</v>
      </c>
      <c r="B71" s="2"/>
      <c r="C71" s="2"/>
      <c r="D71" s="2"/>
      <c r="E71" s="2"/>
      <c r="F71" s="2"/>
      <c r="G71" s="2"/>
      <c r="H71" s="121">
        <v>-1377</v>
      </c>
      <c r="I71" s="121"/>
      <c r="J71" s="121"/>
      <c r="K71" s="120"/>
      <c r="L71" s="120"/>
      <c r="M71" s="120"/>
      <c r="N71" s="120"/>
      <c r="O71" s="77"/>
      <c r="P71" s="47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87" customFormat="1" ht="15.75" customHeight="1">
      <c r="A72" s="47" t="s">
        <v>128</v>
      </c>
      <c r="B72" s="47"/>
      <c r="C72" s="47"/>
      <c r="D72" s="47"/>
      <c r="E72" s="47"/>
      <c r="F72" s="47"/>
      <c r="G72" s="47"/>
      <c r="H72" s="118">
        <f>H67+H69+H70+H71</f>
        <v>6356</v>
      </c>
      <c r="I72" s="118"/>
      <c r="J72" s="118"/>
      <c r="K72" s="124"/>
      <c r="L72" s="124"/>
      <c r="M72" s="124"/>
      <c r="N72" s="124"/>
      <c r="O72" s="99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2" t="s">
        <v>129</v>
      </c>
      <c r="B73" s="2"/>
      <c r="C73" s="2"/>
      <c r="D73" s="2"/>
      <c r="E73" s="2"/>
      <c r="F73" s="2"/>
      <c r="G73" s="2"/>
      <c r="H73" s="121">
        <v>37</v>
      </c>
      <c r="I73" s="121"/>
      <c r="J73" s="121"/>
      <c r="K73" s="120"/>
      <c r="L73" s="120"/>
      <c r="M73" s="120"/>
      <c r="N73" s="120"/>
      <c r="O73" s="77"/>
      <c r="P73" s="47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87" customFormat="1" ht="15.75" customHeight="1">
      <c r="A74" s="47" t="s">
        <v>130</v>
      </c>
      <c r="B74" s="47"/>
      <c r="C74" s="47"/>
      <c r="D74" s="47"/>
      <c r="E74" s="47"/>
      <c r="F74" s="47"/>
      <c r="G74" s="47"/>
      <c r="H74" s="118">
        <f>H72-H73</f>
        <v>6319</v>
      </c>
      <c r="I74" s="118"/>
      <c r="J74" s="118"/>
      <c r="K74" s="118">
        <f>H74+I74-J74</f>
        <v>6319</v>
      </c>
      <c r="L74" s="116">
        <f>L67</f>
        <v>9103</v>
      </c>
      <c r="M74" s="116">
        <f t="shared" ref="M74:N74" si="8">M67</f>
        <v>1109</v>
      </c>
      <c r="N74" s="116">
        <f t="shared" si="8"/>
        <v>13182</v>
      </c>
      <c r="O74" s="101"/>
      <c r="P74" s="104">
        <f>(N74/H74)^(1/3)-1</f>
        <v>0.27774537405950395</v>
      </c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2"/>
      <c r="B75" s="2"/>
      <c r="C75" s="2"/>
      <c r="D75" s="2"/>
      <c r="E75" s="2"/>
      <c r="F75" s="2"/>
      <c r="G75" s="2"/>
      <c r="H75" s="119"/>
      <c r="I75" s="119"/>
      <c r="J75" s="119"/>
      <c r="K75" s="119"/>
      <c r="L75" s="120"/>
      <c r="M75" s="120"/>
      <c r="N75" s="120"/>
      <c r="O75" s="77"/>
      <c r="P75" s="47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 t="s">
        <v>131</v>
      </c>
      <c r="B76" s="2"/>
      <c r="C76" s="2"/>
      <c r="D76" s="2"/>
      <c r="E76" s="2"/>
      <c r="F76" s="2"/>
      <c r="G76" s="2"/>
      <c r="H76" s="121">
        <f>C17</f>
        <v>1772.119584386174</v>
      </c>
      <c r="I76" s="121"/>
      <c r="J76" s="121"/>
      <c r="K76" s="119">
        <f>H76</f>
        <v>1772.119584386174</v>
      </c>
      <c r="L76" s="119">
        <f>K76</f>
        <v>1772.119584386174</v>
      </c>
      <c r="M76" s="119">
        <f t="shared" ref="M76:N76" si="9">L76</f>
        <v>1772.119584386174</v>
      </c>
      <c r="N76" s="119">
        <f t="shared" si="9"/>
        <v>1772.119584386174</v>
      </c>
      <c r="O76" s="77"/>
      <c r="P76" s="47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87" customFormat="1" ht="15.75" customHeight="1">
      <c r="A77" s="47" t="s">
        <v>132</v>
      </c>
      <c r="B77" s="47"/>
      <c r="C77" s="47"/>
      <c r="D77" s="47"/>
      <c r="E77" s="47"/>
      <c r="F77" s="47"/>
      <c r="G77" s="47"/>
      <c r="H77" s="126">
        <f t="shared" ref="H77" si="10">H74/H76</f>
        <v>3.5657864489933799</v>
      </c>
      <c r="I77" s="126"/>
      <c r="J77" s="126"/>
      <c r="K77" s="135">
        <f>H77+I77-J77</f>
        <v>3.5657864489933799</v>
      </c>
      <c r="L77" s="136">
        <f>L74/$H$76</f>
        <v>5.1367865240048642</v>
      </c>
      <c r="M77" s="136">
        <f>M74/$H$76</f>
        <v>0.62580426838639958</v>
      </c>
      <c r="N77" s="136">
        <f>N74/$H$76</f>
        <v>7.4385499241384299</v>
      </c>
      <c r="O77" s="99"/>
      <c r="P77" s="104">
        <f>(N77/H77)^(1/3)-1</f>
        <v>0.27774537405950395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2"/>
      <c r="B78" s="2"/>
      <c r="C78" s="2"/>
      <c r="D78" s="2"/>
      <c r="E78" s="2"/>
      <c r="F78" s="2"/>
      <c r="G78" s="2"/>
      <c r="H78" s="13"/>
      <c r="I78" s="13"/>
      <c r="J78" s="13"/>
      <c r="K78" s="13"/>
      <c r="L78" s="37" t="s">
        <v>168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97"/>
      <c r="C82" s="77"/>
      <c r="D82" s="77"/>
      <c r="E82" s="269"/>
      <c r="F82" s="240"/>
      <c r="G82" s="240"/>
      <c r="H82" s="77"/>
      <c r="I82" s="269"/>
      <c r="J82" s="240"/>
      <c r="K82" s="240"/>
      <c r="L82" s="77"/>
      <c r="M82" s="269"/>
      <c r="N82" s="240"/>
      <c r="O82" s="240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98"/>
      <c r="C83" s="77"/>
      <c r="D83" s="77"/>
      <c r="E83" s="98"/>
      <c r="F83" s="98"/>
      <c r="G83" s="98"/>
      <c r="H83" s="77"/>
      <c r="I83" s="98"/>
      <c r="J83" s="98"/>
      <c r="K83" s="98"/>
      <c r="L83" s="77"/>
      <c r="M83" s="98"/>
      <c r="N83" s="98"/>
      <c r="O83" s="98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99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77"/>
      <c r="C86" s="77"/>
      <c r="D86" s="77"/>
      <c r="E86" s="77"/>
      <c r="F86" s="77"/>
      <c r="G86" s="77"/>
      <c r="H86" s="100"/>
      <c r="I86" s="77"/>
      <c r="J86" s="77"/>
      <c r="K86" s="77"/>
      <c r="L86" s="77"/>
      <c r="M86" s="77"/>
      <c r="N86" s="77"/>
      <c r="O86" s="7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99"/>
      <c r="C91" s="77"/>
      <c r="D91" s="77"/>
      <c r="E91" s="99"/>
      <c r="F91" s="77"/>
      <c r="G91" s="99"/>
      <c r="H91" s="77"/>
      <c r="I91" s="99"/>
      <c r="J91" s="77"/>
      <c r="K91" s="99"/>
      <c r="L91" s="77"/>
      <c r="M91" s="99"/>
      <c r="N91" s="77"/>
      <c r="O91" s="99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99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99"/>
      <c r="C98" s="77"/>
      <c r="D98" s="77"/>
      <c r="E98" s="99"/>
      <c r="F98" s="77"/>
      <c r="G98" s="99"/>
      <c r="H98" s="77"/>
      <c r="I98" s="99"/>
      <c r="J98" s="77"/>
      <c r="K98" s="77"/>
      <c r="L98" s="77"/>
      <c r="M98" s="99"/>
      <c r="N98" s="77"/>
      <c r="O98" s="99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99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99"/>
      <c r="C104" s="77"/>
      <c r="D104" s="77"/>
      <c r="E104" s="77"/>
      <c r="F104" s="77"/>
      <c r="G104" s="99"/>
      <c r="H104" s="77"/>
      <c r="I104" s="77"/>
      <c r="J104" s="77"/>
      <c r="K104" s="77"/>
      <c r="L104" s="77"/>
      <c r="M104" s="77"/>
      <c r="N104" s="77"/>
      <c r="O104" s="7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E82:G82"/>
    <mergeCell ref="I82:K82"/>
    <mergeCell ref="M82:O82"/>
    <mergeCell ref="G13:I13"/>
    <mergeCell ref="E48:E49"/>
    <mergeCell ref="G48:G49"/>
    <mergeCell ref="M48:M49"/>
    <mergeCell ref="L56:N5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A69" zoomScale="69" workbookViewId="0">
      <selection activeCell="L79" sqref="L79"/>
    </sheetView>
  </sheetViews>
  <sheetFormatPr defaultColWidth="14.453125" defaultRowHeight="15" customHeight="1"/>
  <cols>
    <col min="1" max="1" width="3.453125" style="48" customWidth="1"/>
    <col min="2" max="2" width="33.54296875" style="48" customWidth="1"/>
    <col min="3" max="3" width="11.453125" style="48" customWidth="1"/>
    <col min="4" max="4" width="7.1796875" style="48" bestFit="1" customWidth="1"/>
    <col min="5" max="5" width="13.1796875" style="48" customWidth="1"/>
    <col min="6" max="6" width="11.453125" style="48" customWidth="1"/>
    <col min="7" max="7" width="13.453125" style="48" customWidth="1"/>
    <col min="8" max="8" width="14" style="48" customWidth="1"/>
    <col min="9" max="9" width="13" style="48" customWidth="1"/>
    <col min="10" max="10" width="9.54296875" style="48" customWidth="1"/>
    <col min="11" max="11" width="12" style="48" customWidth="1"/>
    <col min="12" max="12" width="10.453125" style="48" customWidth="1"/>
    <col min="13" max="13" width="11.54296875" style="48" customWidth="1"/>
    <col min="14" max="26" width="11.453125" style="48" customWidth="1"/>
    <col min="27" max="16384" width="14.453125" style="48"/>
  </cols>
  <sheetData>
    <row r="1" spans="1:26" ht="23.5" customHeight="1">
      <c r="A1" s="64" t="s">
        <v>149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6" t="s">
        <v>139</v>
      </c>
      <c r="B2" s="65"/>
      <c r="C2" s="65"/>
      <c r="D2" s="65"/>
      <c r="E2" s="65"/>
      <c r="F2" s="6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9" t="s">
        <v>71</v>
      </c>
      <c r="B4" s="90"/>
      <c r="C4" s="90"/>
      <c r="D4" s="90"/>
      <c r="E4" s="90"/>
      <c r="F4" s="9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72</v>
      </c>
      <c r="B5" s="2"/>
      <c r="C5" s="2"/>
      <c r="D5" s="152"/>
      <c r="E5" s="92" t="s">
        <v>154</v>
      </c>
      <c r="F5" s="15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73</v>
      </c>
      <c r="B6" s="2"/>
      <c r="C6" s="2"/>
      <c r="D6" s="143"/>
      <c r="E6" s="93">
        <v>45406</v>
      </c>
      <c r="F6" s="14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74</v>
      </c>
      <c r="B7" s="2"/>
      <c r="C7" s="2"/>
      <c r="D7" s="156"/>
      <c r="E7" s="94" t="s">
        <v>151</v>
      </c>
      <c r="F7" s="15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75</v>
      </c>
      <c r="B8" s="2"/>
      <c r="C8" s="2"/>
      <c r="D8" s="158"/>
      <c r="E8" s="108">
        <v>45291</v>
      </c>
      <c r="F8" s="15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76</v>
      </c>
      <c r="B9" s="2"/>
      <c r="C9" s="2"/>
      <c r="D9" s="158"/>
      <c r="E9" s="108">
        <v>45291</v>
      </c>
      <c r="F9" s="15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 t="s">
        <v>59</v>
      </c>
      <c r="B10" s="2"/>
      <c r="C10" s="2"/>
      <c r="D10" s="156"/>
      <c r="E10" s="94" t="s">
        <v>43</v>
      </c>
      <c r="F10" s="15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4" t="s">
        <v>77</v>
      </c>
      <c r="B11" s="5"/>
      <c r="C11" s="5"/>
      <c r="D11" s="154"/>
      <c r="E11" s="106">
        <v>0.21</v>
      </c>
      <c r="F11" s="1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65"/>
      <c r="H13" s="260"/>
      <c r="I13" s="26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9" t="s">
        <v>78</v>
      </c>
      <c r="B14" s="19"/>
      <c r="C14" s="50" t="s">
        <v>79</v>
      </c>
      <c r="D14" s="50" t="s">
        <v>80</v>
      </c>
      <c r="E14" s="50" t="s">
        <v>81</v>
      </c>
      <c r="F14" s="20"/>
      <c r="G14" s="2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82</v>
      </c>
      <c r="B15" s="2"/>
      <c r="C15" s="7">
        <v>48.86</v>
      </c>
      <c r="D15" s="38"/>
      <c r="E15" s="8"/>
      <c r="F15" s="9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83</v>
      </c>
      <c r="B16" s="2"/>
      <c r="C16" s="8">
        <v>2022</v>
      </c>
      <c r="D16" s="8"/>
      <c r="E16" s="8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84</v>
      </c>
      <c r="B17" s="2"/>
      <c r="C17" s="12">
        <f>C16+H45+G53</f>
        <v>2040</v>
      </c>
      <c r="D17" s="12"/>
      <c r="E17" s="12"/>
      <c r="F17" s="11"/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64</v>
      </c>
      <c r="B18" s="2"/>
      <c r="C18" s="12">
        <f>C15*C17</f>
        <v>99674.4</v>
      </c>
      <c r="D18" s="12">
        <f t="shared" ref="D18" si="0">D15*D17</f>
        <v>0</v>
      </c>
      <c r="E18" s="12"/>
      <c r="F18" s="14">
        <f>SUM(C18:E18)</f>
        <v>99674.4</v>
      </c>
      <c r="G18" s="2"/>
      <c r="H18" s="2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 t="s">
        <v>3</v>
      </c>
      <c r="B19" s="2"/>
      <c r="C19" s="2"/>
      <c r="D19" s="13"/>
      <c r="E19" s="13"/>
      <c r="F19" s="15">
        <v>15</v>
      </c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 t="s">
        <v>85</v>
      </c>
      <c r="B20" s="2"/>
      <c r="C20" s="2"/>
      <c r="D20" s="13"/>
      <c r="E20" s="13"/>
      <c r="F20" s="14">
        <f>E21</f>
        <v>0</v>
      </c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/>
      <c r="B21" s="2" t="s">
        <v>86</v>
      </c>
      <c r="C21" s="2"/>
      <c r="D21" s="2"/>
      <c r="E21" s="5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/>
      <c r="B22" s="37" t="s">
        <v>87</v>
      </c>
      <c r="C22" s="2"/>
      <c r="D22" s="2"/>
      <c r="E22" s="52">
        <v>0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 t="s">
        <v>88</v>
      </c>
      <c r="B23" s="2"/>
      <c r="C23" s="2"/>
      <c r="D23" s="2"/>
      <c r="E23" s="13"/>
      <c r="F23" s="14">
        <f>36653+3119</f>
        <v>39772</v>
      </c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/>
      <c r="B24" s="37" t="s">
        <v>89</v>
      </c>
      <c r="C24" s="37"/>
      <c r="D24" s="2"/>
      <c r="E24" s="51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/>
      <c r="B25" s="37" t="s">
        <v>90</v>
      </c>
      <c r="C25" s="37"/>
      <c r="D25" s="2"/>
      <c r="E25" s="52"/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 t="s">
        <v>91</v>
      </c>
      <c r="B26" s="2"/>
      <c r="C26" s="2"/>
      <c r="D26" s="2"/>
      <c r="E26" s="13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/>
      <c r="B27" s="2" t="s">
        <v>92</v>
      </c>
      <c r="C27" s="2"/>
      <c r="D27" s="2"/>
      <c r="E27" s="13"/>
      <c r="F27" s="15">
        <v>-26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/>
      <c r="B28" s="2" t="s">
        <v>93</v>
      </c>
      <c r="C28" s="2"/>
      <c r="D28" s="2"/>
      <c r="E28" s="2"/>
      <c r="F28" s="15">
        <v>1692</v>
      </c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 t="s">
        <v>94</v>
      </c>
      <c r="B29" s="2"/>
      <c r="C29" s="2"/>
      <c r="D29" s="2"/>
      <c r="E29" s="13"/>
      <c r="F29" s="15">
        <v>11464</v>
      </c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3" t="s">
        <v>95</v>
      </c>
      <c r="B30" s="54"/>
      <c r="C30" s="54"/>
      <c r="D30" s="55"/>
      <c r="E30" s="55"/>
      <c r="F30" s="56">
        <f>F18+F19+F20+F23+F27+F28-F29</f>
        <v>129663.4</v>
      </c>
      <c r="G30" s="2"/>
      <c r="H30" s="2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96</v>
      </c>
      <c r="B31" s="47"/>
      <c r="C31" s="47"/>
      <c r="D31" s="57"/>
      <c r="E31" s="57"/>
      <c r="F31" s="15">
        <v>2728</v>
      </c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97</v>
      </c>
      <c r="B32" s="47"/>
      <c r="C32" s="47"/>
      <c r="D32" s="57"/>
      <c r="E32" s="57"/>
      <c r="F32" s="14">
        <f>F30-F31</f>
        <v>126935.4</v>
      </c>
      <c r="G32" s="2"/>
      <c r="H32" s="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4" t="s">
        <v>98</v>
      </c>
      <c r="B33" s="5"/>
      <c r="C33" s="5"/>
      <c r="D33" s="5"/>
      <c r="E33" s="5"/>
      <c r="F33" s="63">
        <f>F18/SUM(C17:E17)</f>
        <v>48.86</v>
      </c>
      <c r="G33" s="2"/>
      <c r="H33" s="2"/>
      <c r="I33" s="2"/>
      <c r="J33" s="5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18"/>
      <c r="I34" s="18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17" t="s">
        <v>99</v>
      </c>
      <c r="B35" s="217"/>
      <c r="C35" s="217"/>
      <c r="D35" s="217"/>
      <c r="E35" s="217"/>
      <c r="F35" s="217"/>
      <c r="G35" s="217"/>
      <c r="H35" s="2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2"/>
      <c r="C36" s="2"/>
      <c r="D36" s="2"/>
      <c r="E36" s="2"/>
      <c r="F36" s="2"/>
      <c r="G36" s="2"/>
      <c r="H36" s="18"/>
      <c r="I36" s="18"/>
      <c r="J36" s="18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9" t="s">
        <v>133</v>
      </c>
      <c r="C37" s="19"/>
      <c r="D37" s="19"/>
      <c r="E37" s="19"/>
      <c r="F37" s="19"/>
      <c r="G37" s="19"/>
      <c r="H37" s="20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1"/>
      <c r="C38" s="22" t="s">
        <v>26</v>
      </c>
      <c r="D38" s="2"/>
      <c r="E38" s="23" t="s">
        <v>27</v>
      </c>
      <c r="F38" s="23"/>
      <c r="G38" s="23"/>
      <c r="H38" s="24" t="s">
        <v>28</v>
      </c>
      <c r="I38" s="18"/>
      <c r="J38" s="22"/>
      <c r="K38" s="22"/>
      <c r="L38" s="6"/>
      <c r="M38" s="6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thickBot="1">
      <c r="A39" s="2"/>
      <c r="B39" s="25" t="s">
        <v>101</v>
      </c>
      <c r="C39" s="26" t="s">
        <v>29</v>
      </c>
      <c r="D39" s="26" t="s">
        <v>30</v>
      </c>
      <c r="E39" s="26" t="s">
        <v>31</v>
      </c>
      <c r="F39" s="26" t="s">
        <v>32</v>
      </c>
      <c r="G39" s="96" t="s">
        <v>33</v>
      </c>
      <c r="H39" s="27" t="s">
        <v>34</v>
      </c>
      <c r="I39" s="18"/>
      <c r="J39" s="28"/>
      <c r="K39" s="22"/>
      <c r="L39" s="22"/>
      <c r="M39" s="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9">
        <v>16.2</v>
      </c>
      <c r="C40" s="30">
        <v>57.34</v>
      </c>
      <c r="D40" s="31" t="str">
        <f>IF(C40&lt;$C$15,"Yes","N0")</f>
        <v>N0</v>
      </c>
      <c r="E40" s="32"/>
      <c r="F40" s="12"/>
      <c r="G40" s="107"/>
      <c r="H40" s="33">
        <f>E40-G40</f>
        <v>0</v>
      </c>
      <c r="I40" s="18"/>
      <c r="J40" s="34"/>
      <c r="K40" s="34"/>
      <c r="L40" s="13"/>
      <c r="M40" s="34"/>
      <c r="N40" s="3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9">
        <v>18</v>
      </c>
      <c r="C41" s="30">
        <v>0</v>
      </c>
      <c r="D41" s="31" t="str">
        <f t="shared" ref="D41" si="1">IF(C41&lt;$C$15,"Yes","N0")</f>
        <v>Yes</v>
      </c>
      <c r="E41" s="32">
        <f t="shared" ref="E41" si="2">IF(D41="Yes",B41,0)</f>
        <v>18</v>
      </c>
      <c r="F41" s="12">
        <f t="shared" ref="F41" si="3">E41*C41</f>
        <v>0</v>
      </c>
      <c r="G41" s="32">
        <f t="shared" ref="G41" si="4">F41/C16</f>
        <v>0</v>
      </c>
      <c r="H41" s="33">
        <f t="shared" ref="H41" si="5">E41-G41</f>
        <v>18</v>
      </c>
      <c r="I41" s="18"/>
      <c r="J41" s="34"/>
      <c r="K41" s="34"/>
      <c r="L41" s="13"/>
      <c r="M41" s="34"/>
      <c r="N41" s="3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9"/>
      <c r="C42" s="30"/>
      <c r="D42" s="31"/>
      <c r="E42" s="32"/>
      <c r="F42" s="12"/>
      <c r="G42" s="32"/>
      <c r="H42" s="33"/>
      <c r="I42" s="18"/>
      <c r="J42" s="34"/>
      <c r="K42" s="34"/>
      <c r="L42" s="13"/>
      <c r="M42" s="34"/>
      <c r="N42" s="3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9"/>
      <c r="C43" s="30"/>
      <c r="D43" s="31"/>
      <c r="E43" s="32"/>
      <c r="F43" s="12"/>
      <c r="G43" s="32"/>
      <c r="H43" s="33"/>
      <c r="I43" s="18"/>
      <c r="J43" s="34"/>
      <c r="K43" s="34"/>
      <c r="L43" s="13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9"/>
      <c r="C44" s="30"/>
      <c r="D44" s="31"/>
      <c r="E44" s="32"/>
      <c r="F44" s="12"/>
      <c r="G44" s="32"/>
      <c r="H44" s="33"/>
      <c r="I44" s="18"/>
      <c r="J44" s="34"/>
      <c r="K44" s="34"/>
      <c r="L44" s="13"/>
      <c r="M44" s="34"/>
      <c r="N44" s="3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5"/>
      <c r="D45" s="5"/>
      <c r="E45" s="5"/>
      <c r="F45" s="5"/>
      <c r="G45" s="5"/>
      <c r="H45" s="35">
        <f>SUM(H40:H44)</f>
        <v>18</v>
      </c>
      <c r="I45" s="18"/>
      <c r="J45" s="2"/>
      <c r="K45" s="2"/>
      <c r="L45" s="2"/>
      <c r="M45" s="2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18"/>
      <c r="I46" s="18"/>
      <c r="J46" s="18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9" t="s">
        <v>102</v>
      </c>
      <c r="C47" s="19"/>
      <c r="D47" s="19"/>
      <c r="E47" s="19"/>
      <c r="F47" s="19"/>
      <c r="G47" s="20"/>
      <c r="H47" s="18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59"/>
      <c r="C48" s="60"/>
      <c r="D48" s="60"/>
      <c r="E48" s="266" t="s">
        <v>103</v>
      </c>
      <c r="F48" s="36"/>
      <c r="G48" s="267" t="s">
        <v>104</v>
      </c>
      <c r="H48" s="18"/>
      <c r="I48" s="18"/>
      <c r="J48" s="37"/>
      <c r="K48" s="37"/>
      <c r="L48" s="2"/>
      <c r="M48" s="2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1" t="s">
        <v>105</v>
      </c>
      <c r="C49" s="62" t="s">
        <v>106</v>
      </c>
      <c r="D49" s="62" t="s">
        <v>107</v>
      </c>
      <c r="E49" s="260"/>
      <c r="F49" s="37" t="s">
        <v>108</v>
      </c>
      <c r="G49" s="268"/>
      <c r="H49" s="18"/>
      <c r="I49" s="18"/>
      <c r="J49" s="37"/>
      <c r="K49" s="62"/>
      <c r="L49" s="37"/>
      <c r="M49" s="2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8"/>
      <c r="D50" s="8"/>
      <c r="E50" s="38"/>
      <c r="F50" s="39"/>
      <c r="G50" s="40"/>
      <c r="H50" s="18"/>
      <c r="I50" s="18"/>
      <c r="J50" s="2"/>
      <c r="K50" s="13"/>
      <c r="L50" s="41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8"/>
      <c r="D51" s="8"/>
      <c r="E51" s="38"/>
      <c r="F51" s="39"/>
      <c r="G51" s="40"/>
      <c r="H51" s="18"/>
      <c r="I51" s="18"/>
      <c r="J51" s="2"/>
      <c r="K51" s="13"/>
      <c r="L51" s="41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8"/>
      <c r="D52" s="8"/>
      <c r="E52" s="38"/>
      <c r="F52" s="42"/>
      <c r="G52" s="40"/>
      <c r="H52" s="18"/>
      <c r="I52" s="18"/>
      <c r="J52" s="2"/>
      <c r="K52" s="13"/>
      <c r="L52" s="41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3"/>
      <c r="D53" s="43"/>
      <c r="E53" s="43"/>
      <c r="F53" s="44"/>
      <c r="G53" s="45"/>
      <c r="H53" s="18"/>
      <c r="I53" s="18"/>
      <c r="J53" s="2"/>
      <c r="K53" s="13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18"/>
      <c r="I55" s="18"/>
      <c r="J55" s="18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18"/>
      <c r="I56" s="18"/>
      <c r="J56" s="18"/>
      <c r="K56" s="18"/>
      <c r="L56" s="270" t="s">
        <v>134</v>
      </c>
      <c r="M56" s="271"/>
      <c r="N56" s="24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109</v>
      </c>
      <c r="B57" s="1"/>
      <c r="C57" s="1"/>
      <c r="D57" s="1"/>
      <c r="E57" s="1"/>
      <c r="F57" s="1"/>
      <c r="G57" s="1"/>
      <c r="H57" s="113" t="s">
        <v>110</v>
      </c>
      <c r="I57" s="113" t="s">
        <v>111</v>
      </c>
      <c r="J57" s="113" t="s">
        <v>112</v>
      </c>
      <c r="K57" s="113" t="s">
        <v>35</v>
      </c>
      <c r="L57" s="113" t="s">
        <v>113</v>
      </c>
      <c r="M57" s="113" t="s">
        <v>114</v>
      </c>
      <c r="N57" s="113" t="s">
        <v>115</v>
      </c>
      <c r="O57" s="102"/>
      <c r="P57" s="112" t="s">
        <v>135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114" t="s">
        <v>116</v>
      </c>
      <c r="I58" s="114" t="s">
        <v>136</v>
      </c>
      <c r="J58" s="114" t="s">
        <v>136</v>
      </c>
      <c r="K58" s="114"/>
      <c r="L58" s="127">
        <v>45657</v>
      </c>
      <c r="M58" s="127">
        <f t="shared" ref="M58:N58" si="6">EDATE(L58,12)</f>
        <v>46022</v>
      </c>
      <c r="N58" s="127">
        <f t="shared" si="6"/>
        <v>46387</v>
      </c>
      <c r="O58" s="10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87" customFormat="1" ht="15" customHeight="1">
      <c r="A59" s="47" t="s">
        <v>117</v>
      </c>
      <c r="B59" s="47"/>
      <c r="C59" s="47"/>
      <c r="D59" s="47"/>
      <c r="E59" s="47"/>
      <c r="F59" s="47"/>
      <c r="G59" s="47"/>
      <c r="H59" s="116">
        <v>45006</v>
      </c>
      <c r="I59" s="116"/>
      <c r="J59" s="117"/>
      <c r="K59" s="118">
        <f>H59+I59-J59</f>
        <v>45006</v>
      </c>
      <c r="L59" s="116">
        <v>45793</v>
      </c>
      <c r="M59" s="116">
        <v>46342</v>
      </c>
      <c r="N59" s="116">
        <v>44495</v>
      </c>
      <c r="O59" s="105"/>
      <c r="P59" s="104">
        <f>(N59/H59)^(1/3)-1</f>
        <v>-3.7990954094327956E-3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" customHeight="1">
      <c r="A60" s="2"/>
      <c r="B60" s="2"/>
      <c r="C60" s="2"/>
      <c r="D60" s="2"/>
      <c r="E60" s="2"/>
      <c r="F60" s="2"/>
      <c r="G60" s="2"/>
      <c r="H60" s="119"/>
      <c r="I60" s="119"/>
      <c r="J60" s="119"/>
      <c r="K60" s="119"/>
      <c r="L60" s="120"/>
      <c r="M60" s="120"/>
      <c r="N60" s="120"/>
      <c r="O60" s="77"/>
      <c r="P60" s="2"/>
      <c r="Q60" s="2"/>
      <c r="R60" s="13">
        <f>16785-17498</f>
        <v>-713</v>
      </c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 t="s">
        <v>118</v>
      </c>
      <c r="B61" s="2"/>
      <c r="C61" s="2"/>
      <c r="D61" s="2"/>
      <c r="E61" s="2"/>
      <c r="F61" s="2"/>
      <c r="G61" s="272"/>
      <c r="H61" s="121">
        <f>45006-36566</f>
        <v>8440</v>
      </c>
      <c r="I61" s="121"/>
      <c r="J61" s="121"/>
      <c r="K61" s="118">
        <f>H61+I61-J61</f>
        <v>8440</v>
      </c>
      <c r="L61" s="120"/>
      <c r="M61" s="120"/>
      <c r="N61" s="120"/>
      <c r="O61" s="7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 t="s">
        <v>119</v>
      </c>
      <c r="B62" s="47"/>
      <c r="C62" s="47"/>
      <c r="D62" s="47"/>
      <c r="E62" s="47"/>
      <c r="F62" s="47"/>
      <c r="G62" s="260"/>
      <c r="H62" s="121">
        <f>9047</f>
        <v>9047</v>
      </c>
      <c r="I62" s="129"/>
      <c r="J62" s="129"/>
      <c r="K62" s="128"/>
      <c r="L62" s="124"/>
      <c r="M62" s="124"/>
      <c r="N62" s="124"/>
      <c r="O62" s="99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s="87" customFormat="1" ht="15.75" customHeight="1">
      <c r="A63" s="47" t="s">
        <v>120</v>
      </c>
      <c r="B63" s="47"/>
      <c r="C63" s="47"/>
      <c r="D63" s="47"/>
      <c r="E63" s="47"/>
      <c r="F63" s="47"/>
      <c r="G63" s="260"/>
      <c r="H63" s="118">
        <f>H61+H62-646</f>
        <v>16841</v>
      </c>
      <c r="I63" s="118"/>
      <c r="J63" s="118"/>
      <c r="K63" s="118">
        <f>H63</f>
        <v>16841</v>
      </c>
      <c r="L63" s="116">
        <f>3989</f>
        <v>3989</v>
      </c>
      <c r="M63" s="116">
        <v>17059</v>
      </c>
      <c r="N63" s="116">
        <v>15879</v>
      </c>
      <c r="O63" s="101"/>
      <c r="P63" s="104">
        <f>(N63/H63)^(1/3)-1</f>
        <v>-1.9415349092346434E-2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" t="s">
        <v>121</v>
      </c>
      <c r="B64" s="2"/>
      <c r="C64" s="2"/>
      <c r="D64" s="2"/>
      <c r="E64" s="2"/>
      <c r="F64" s="2"/>
      <c r="G64" s="2"/>
      <c r="H64" s="121">
        <v>713</v>
      </c>
      <c r="I64" s="121"/>
      <c r="J64" s="121"/>
      <c r="K64" s="119"/>
      <c r="L64" s="120"/>
      <c r="M64" s="120"/>
      <c r="N64" s="120"/>
      <c r="O64" s="7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87" customFormat="1" ht="15.75" customHeight="1">
      <c r="A65" s="47" t="s">
        <v>122</v>
      </c>
      <c r="B65" s="47"/>
      <c r="C65" s="47"/>
      <c r="D65" s="47"/>
      <c r="E65" s="47"/>
      <c r="F65" s="47"/>
      <c r="G65" s="47"/>
      <c r="H65" s="118">
        <f t="shared" ref="H65" si="7">H63+H64</f>
        <v>17554</v>
      </c>
      <c r="I65" s="118"/>
      <c r="J65" s="118"/>
      <c r="K65" s="118">
        <f>H65</f>
        <v>17554</v>
      </c>
      <c r="L65" s="118">
        <v>4203</v>
      </c>
      <c r="M65" s="116">
        <v>18038</v>
      </c>
      <c r="N65" s="116">
        <v>16181</v>
      </c>
      <c r="O65" s="101"/>
      <c r="P65" s="104">
        <f>(N65/H65)^(1/3)-1</f>
        <v>-2.6782847372056606E-2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6" customHeight="1">
      <c r="A66" s="2"/>
      <c r="B66" s="2"/>
      <c r="C66" s="2"/>
      <c r="D66" s="2"/>
      <c r="E66" s="2"/>
      <c r="F66" s="2"/>
      <c r="G66" s="2"/>
      <c r="H66" s="119"/>
      <c r="I66" s="119"/>
      <c r="J66" s="119"/>
      <c r="K66" s="119"/>
      <c r="L66" s="120"/>
      <c r="M66" s="120"/>
      <c r="N66" s="120"/>
      <c r="O66" s="7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 t="s">
        <v>123</v>
      </c>
      <c r="B67" s="2"/>
      <c r="C67" s="2"/>
      <c r="D67" s="2"/>
      <c r="E67" s="2"/>
      <c r="F67" s="2"/>
      <c r="G67" s="2"/>
      <c r="H67" s="121">
        <v>8025</v>
      </c>
      <c r="I67" s="121"/>
      <c r="J67" s="121"/>
      <c r="K67" s="125">
        <f>H67+I67-J67</f>
        <v>8025</v>
      </c>
      <c r="L67" s="120">
        <v>-3954</v>
      </c>
      <c r="M67" s="120">
        <v>10309</v>
      </c>
      <c r="N67" s="120">
        <v>10287</v>
      </c>
      <c r="O67" s="7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 t="s">
        <v>124</v>
      </c>
      <c r="B68" s="2"/>
      <c r="C68" s="2"/>
      <c r="D68" s="2"/>
      <c r="E68" s="2"/>
      <c r="F68" s="2"/>
      <c r="G68" s="2"/>
      <c r="H68" s="125">
        <f t="shared" ref="H68" si="8">H62</f>
        <v>9047</v>
      </c>
      <c r="I68" s="130"/>
      <c r="J68" s="131"/>
      <c r="K68" s="120"/>
      <c r="L68" s="120"/>
      <c r="M68" s="120"/>
      <c r="N68" s="120"/>
      <c r="O68" s="7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125</v>
      </c>
      <c r="B69" s="2"/>
      <c r="C69" s="2"/>
      <c r="D69" s="2"/>
      <c r="E69" s="2"/>
      <c r="F69" s="2"/>
      <c r="G69" s="2"/>
      <c r="H69" s="121">
        <v>0</v>
      </c>
      <c r="I69" s="121"/>
      <c r="J69" s="121"/>
      <c r="K69" s="120"/>
      <c r="L69" s="120"/>
      <c r="M69" s="120"/>
      <c r="N69" s="120"/>
      <c r="O69" s="7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126</v>
      </c>
      <c r="B70" s="2"/>
      <c r="C70" s="2"/>
      <c r="D70" s="2"/>
      <c r="E70" s="2"/>
      <c r="F70" s="2"/>
      <c r="G70" s="2"/>
      <c r="H70" s="125">
        <v>-400</v>
      </c>
      <c r="I70" s="125"/>
      <c r="J70" s="125"/>
      <c r="K70" s="120"/>
      <c r="L70" s="120"/>
      <c r="M70" s="120"/>
      <c r="N70" s="120"/>
      <c r="O70" s="7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127</v>
      </c>
      <c r="B71" s="2"/>
      <c r="C71" s="2"/>
      <c r="D71" s="2"/>
      <c r="E71" s="2"/>
      <c r="F71" s="2"/>
      <c r="G71" s="2"/>
      <c r="H71" s="121">
        <v>-2295</v>
      </c>
      <c r="I71" s="121"/>
      <c r="J71" s="121"/>
      <c r="K71" s="120"/>
      <c r="L71" s="120"/>
      <c r="M71" s="120"/>
      <c r="N71" s="120"/>
      <c r="O71" s="7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47" t="s">
        <v>128</v>
      </c>
      <c r="B72" s="2"/>
      <c r="C72" s="2"/>
      <c r="D72" s="2"/>
      <c r="E72" s="2"/>
      <c r="F72" s="2"/>
      <c r="G72" s="2"/>
      <c r="H72" s="118">
        <f>H67+H69+H70+H71+H68+H64</f>
        <v>15090</v>
      </c>
      <c r="I72" s="118"/>
      <c r="J72" s="118"/>
      <c r="K72" s="120"/>
      <c r="L72" s="120"/>
      <c r="M72" s="120"/>
      <c r="N72" s="120"/>
      <c r="O72" s="7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 t="s">
        <v>129</v>
      </c>
      <c r="B73" s="2"/>
      <c r="C73" s="2"/>
      <c r="D73" s="2"/>
      <c r="E73" s="2"/>
      <c r="F73" s="2"/>
      <c r="G73" s="2"/>
      <c r="H73" s="121">
        <v>15</v>
      </c>
      <c r="I73" s="121"/>
      <c r="J73" s="121"/>
      <c r="K73" s="120"/>
      <c r="L73" s="120"/>
      <c r="M73" s="120"/>
      <c r="N73" s="120"/>
      <c r="O73" s="7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87" customFormat="1" ht="15.75" customHeight="1">
      <c r="A74" s="47" t="s">
        <v>130</v>
      </c>
      <c r="B74" s="47"/>
      <c r="C74" s="47"/>
      <c r="D74" s="47"/>
      <c r="E74" s="47"/>
      <c r="F74" s="47"/>
      <c r="G74" s="47"/>
      <c r="H74" s="118">
        <f t="shared" ref="H74" si="9">H72-H73</f>
        <v>15075</v>
      </c>
      <c r="I74" s="118"/>
      <c r="J74" s="118"/>
      <c r="K74" s="118">
        <f>H74+I74-J74</f>
        <v>15075</v>
      </c>
      <c r="L74" s="116">
        <f>L67</f>
        <v>-3954</v>
      </c>
      <c r="M74" s="116">
        <f t="shared" ref="M74:N74" si="10">M67</f>
        <v>10309</v>
      </c>
      <c r="N74" s="116">
        <f t="shared" si="10"/>
        <v>10287</v>
      </c>
      <c r="O74" s="101"/>
      <c r="P74" s="104">
        <f>(N74/H74)^(1/3)-1</f>
        <v>-0.11960586710540733</v>
      </c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2"/>
      <c r="B75" s="2"/>
      <c r="C75" s="2"/>
      <c r="D75" s="2"/>
      <c r="E75" s="2"/>
      <c r="F75" s="2"/>
      <c r="G75" s="2"/>
      <c r="H75" s="119"/>
      <c r="I75" s="119"/>
      <c r="J75" s="119"/>
      <c r="K75" s="119"/>
      <c r="L75" s="120"/>
      <c r="M75" s="120"/>
      <c r="N75" s="120"/>
      <c r="O75" s="7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 t="s">
        <v>131</v>
      </c>
      <c r="B76" s="2"/>
      <c r="C76" s="2"/>
      <c r="D76" s="2"/>
      <c r="E76" s="2"/>
      <c r="F76" s="2"/>
      <c r="G76" s="2"/>
      <c r="H76" s="121">
        <f>(206575)/1000</f>
        <v>206.57499999999999</v>
      </c>
      <c r="I76" s="121"/>
      <c r="J76" s="121"/>
      <c r="K76" s="119"/>
      <c r="L76" s="120"/>
      <c r="M76" s="120"/>
      <c r="N76" s="120"/>
      <c r="O76" s="7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 t="s">
        <v>132</v>
      </c>
      <c r="B77" s="2"/>
      <c r="C77" s="2"/>
      <c r="D77" s="2"/>
      <c r="E77" s="2"/>
      <c r="F77" s="2"/>
      <c r="G77" s="2"/>
      <c r="H77" s="126">
        <f t="shared" ref="H77" si="11">H74/H76</f>
        <v>72.975916737262494</v>
      </c>
      <c r="I77" s="126"/>
      <c r="J77" s="126"/>
      <c r="K77" s="118">
        <f>K74/H76</f>
        <v>72.975916737262494</v>
      </c>
      <c r="L77" s="118">
        <f>0</f>
        <v>0</v>
      </c>
      <c r="M77" s="118">
        <f>M74/H76</f>
        <v>49.904393077574731</v>
      </c>
      <c r="N77" s="118">
        <f>N74/H76</f>
        <v>49.797894227278228</v>
      </c>
      <c r="O77" s="77"/>
      <c r="P77" s="104">
        <f>(N77/H77)^(1/3)-1</f>
        <v>-0.11960586710540733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13"/>
      <c r="I78" s="13"/>
      <c r="J78" s="13"/>
      <c r="K78" s="13"/>
      <c r="L78" s="37" t="s">
        <v>168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M48:M49"/>
    <mergeCell ref="L56:N56"/>
    <mergeCell ref="G61:G63"/>
    <mergeCell ref="G13:I13"/>
    <mergeCell ref="E48:E49"/>
    <mergeCell ref="G48:G4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topLeftCell="A63" zoomScale="61" workbookViewId="0">
      <selection activeCell="L79" sqref="L79"/>
    </sheetView>
  </sheetViews>
  <sheetFormatPr defaultColWidth="14.453125" defaultRowHeight="15" customHeight="1"/>
  <cols>
    <col min="1" max="1" width="3.453125" style="48" customWidth="1"/>
    <col min="2" max="2" width="35.54296875" style="48" customWidth="1"/>
    <col min="3" max="3" width="11.453125" style="48" customWidth="1"/>
    <col min="4" max="5" width="10.54296875" style="48" customWidth="1"/>
    <col min="6" max="6" width="11.453125" style="48" customWidth="1"/>
    <col min="7" max="7" width="13.453125" style="48" customWidth="1"/>
    <col min="8" max="8" width="14" style="48" customWidth="1"/>
    <col min="9" max="9" width="13" style="48" customWidth="1"/>
    <col min="10" max="10" width="9.54296875" style="48" customWidth="1"/>
    <col min="11" max="11" width="12" style="48" customWidth="1"/>
    <col min="12" max="12" width="10.453125" style="48" customWidth="1"/>
    <col min="13" max="13" width="11.54296875" style="48" customWidth="1"/>
    <col min="14" max="26" width="11.453125" style="48" customWidth="1"/>
    <col min="27" max="16384" width="14.453125" style="48"/>
  </cols>
  <sheetData>
    <row r="1" spans="1:26" ht="23.5" customHeight="1">
      <c r="A1" s="64" t="s">
        <v>141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6" t="s">
        <v>139</v>
      </c>
      <c r="B2" s="65"/>
      <c r="C2" s="65"/>
      <c r="D2" s="65"/>
      <c r="E2" s="65"/>
      <c r="F2" s="6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9" t="s">
        <v>71</v>
      </c>
      <c r="B4" s="90"/>
      <c r="C4" s="90"/>
      <c r="D4" s="273"/>
      <c r="E4" s="273"/>
      <c r="F4" s="27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72</v>
      </c>
      <c r="B5" s="2"/>
      <c r="C5" s="2"/>
      <c r="D5" s="77"/>
      <c r="E5" s="74" t="s">
        <v>154</v>
      </c>
      <c r="F5" s="15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73</v>
      </c>
      <c r="B6" s="2"/>
      <c r="C6" s="2"/>
      <c r="D6" s="77"/>
      <c r="E6" s="108">
        <v>45406</v>
      </c>
      <c r="F6" s="15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74</v>
      </c>
      <c r="B7" s="2"/>
      <c r="C7" s="2"/>
      <c r="D7" s="77"/>
      <c r="E7" s="74" t="s">
        <v>158</v>
      </c>
      <c r="F7" s="15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75</v>
      </c>
      <c r="B8" s="2"/>
      <c r="C8" s="2"/>
      <c r="D8" s="158"/>
      <c r="E8" s="108">
        <v>45291</v>
      </c>
      <c r="F8" s="15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76</v>
      </c>
      <c r="B9" s="2"/>
      <c r="C9" s="2"/>
      <c r="D9" s="158"/>
      <c r="E9" s="108">
        <v>45291</v>
      </c>
      <c r="F9" s="15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 t="s">
        <v>59</v>
      </c>
      <c r="B10" s="2"/>
      <c r="C10" s="2"/>
      <c r="D10" s="77"/>
      <c r="E10" s="74" t="s">
        <v>43</v>
      </c>
      <c r="F10" s="15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4" t="s">
        <v>77</v>
      </c>
      <c r="B11" s="5"/>
      <c r="C11" s="5"/>
      <c r="D11" s="148"/>
      <c r="E11" s="82">
        <v>0.21</v>
      </c>
      <c r="F11" s="16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65"/>
      <c r="H13" s="260"/>
      <c r="I13" s="26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9" t="s">
        <v>78</v>
      </c>
      <c r="B14" s="19"/>
      <c r="C14" s="50" t="s">
        <v>79</v>
      </c>
      <c r="D14" s="50" t="s">
        <v>80</v>
      </c>
      <c r="E14" s="50" t="s">
        <v>81</v>
      </c>
      <c r="F14" s="20"/>
      <c r="G14" s="2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82</v>
      </c>
      <c r="B15" s="2"/>
      <c r="C15" s="7">
        <v>26.27</v>
      </c>
      <c r="D15" s="8"/>
      <c r="E15" s="8"/>
      <c r="F15" s="9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83</v>
      </c>
      <c r="B16" s="2"/>
      <c r="C16" s="8">
        <v>5647</v>
      </c>
      <c r="D16" s="8"/>
      <c r="E16" s="8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84</v>
      </c>
      <c r="B17" s="2"/>
      <c r="C17" s="109">
        <f>C16+H45+G53</f>
        <v>5672.8440000000001</v>
      </c>
      <c r="D17" s="12"/>
      <c r="E17" s="12"/>
      <c r="F17" s="11"/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64</v>
      </c>
      <c r="B18" s="2"/>
      <c r="C18" s="12">
        <f>C15*C17</f>
        <v>149025.61188000001</v>
      </c>
      <c r="D18" s="12"/>
      <c r="E18" s="12"/>
      <c r="F18" s="14">
        <f>SUM(C18:E18)</f>
        <v>149025.61188000001</v>
      </c>
      <c r="G18" s="2"/>
      <c r="H18" s="2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 t="s">
        <v>3</v>
      </c>
      <c r="B19" s="2"/>
      <c r="C19" s="2"/>
      <c r="D19" s="13"/>
      <c r="E19" s="13"/>
      <c r="F19" s="15">
        <v>39</v>
      </c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 t="s">
        <v>85</v>
      </c>
      <c r="B20" s="2"/>
      <c r="C20" s="2"/>
      <c r="D20" s="13"/>
      <c r="E20" s="13"/>
      <c r="F20" s="14">
        <f>E21</f>
        <v>0</v>
      </c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/>
      <c r="B21" s="2" t="s">
        <v>86</v>
      </c>
      <c r="C21" s="2"/>
      <c r="D21" s="2"/>
      <c r="E21" s="51">
        <v>0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/>
      <c r="B22" s="37" t="s">
        <v>87</v>
      </c>
      <c r="C22" s="2"/>
      <c r="D22" s="2"/>
      <c r="E22" s="52">
        <v>0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 t="s">
        <v>88</v>
      </c>
      <c r="B23" s="2"/>
      <c r="C23" s="2"/>
      <c r="D23" s="2"/>
      <c r="E23" s="13"/>
      <c r="F23" s="14">
        <f>61538+10350</f>
        <v>71888</v>
      </c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/>
      <c r="B24" s="37" t="s">
        <v>89</v>
      </c>
      <c r="C24" s="37"/>
      <c r="D24" s="2"/>
      <c r="E24" s="51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/>
      <c r="B25" s="37" t="s">
        <v>90</v>
      </c>
      <c r="C25" s="37"/>
      <c r="D25" s="2"/>
      <c r="E25" s="52">
        <v>0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 t="s">
        <v>91</v>
      </c>
      <c r="B26" s="2"/>
      <c r="C26" s="2"/>
      <c r="D26" s="2"/>
      <c r="E26" s="13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/>
      <c r="B27" s="2" t="s">
        <v>92</v>
      </c>
      <c r="C27" s="2"/>
      <c r="D27" s="2"/>
      <c r="E27" s="13"/>
      <c r="F27" s="15">
        <f>179-740</f>
        <v>-561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/>
      <c r="B28" s="2" t="s">
        <v>93</v>
      </c>
      <c r="C28" s="2"/>
      <c r="D28" s="2"/>
      <c r="E28" s="2"/>
      <c r="F28" s="15">
        <v>3153</v>
      </c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 t="s">
        <v>94</v>
      </c>
      <c r="B29" s="2"/>
      <c r="C29" s="2"/>
      <c r="D29" s="2"/>
      <c r="E29" s="13"/>
      <c r="F29" s="15">
        <v>2853</v>
      </c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3" t="s">
        <v>95</v>
      </c>
      <c r="B30" s="54"/>
      <c r="C30" s="54"/>
      <c r="D30" s="55"/>
      <c r="E30" s="55"/>
      <c r="F30" s="56">
        <f>F18+F19+F20+F23+F27+F28-F29</f>
        <v>220691.61188000001</v>
      </c>
      <c r="G30" s="2"/>
      <c r="H30" s="2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96</v>
      </c>
      <c r="B31" s="47"/>
      <c r="C31" s="47"/>
      <c r="D31" s="57"/>
      <c r="E31" s="57"/>
      <c r="F31" s="15">
        <v>9837</v>
      </c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97</v>
      </c>
      <c r="B32" s="47"/>
      <c r="C32" s="47"/>
      <c r="D32" s="57"/>
      <c r="E32" s="57"/>
      <c r="F32" s="14">
        <f>F30-F31</f>
        <v>210854.61188000001</v>
      </c>
      <c r="G32" s="2"/>
      <c r="H32" s="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thickBot="1">
      <c r="A33" s="215" t="s">
        <v>98</v>
      </c>
      <c r="B33" s="79"/>
      <c r="C33" s="79"/>
      <c r="D33" s="79"/>
      <c r="E33" s="79"/>
      <c r="F33" s="216">
        <f>F18/SUM(C17:E17)</f>
        <v>26.270000000000003</v>
      </c>
      <c r="G33" s="77"/>
      <c r="H33" s="77"/>
      <c r="I33" s="2"/>
      <c r="J33" s="5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77"/>
      <c r="B34" s="77"/>
      <c r="C34" s="77"/>
      <c r="D34" s="77"/>
      <c r="E34" s="77"/>
      <c r="F34" s="77"/>
      <c r="G34" s="77"/>
      <c r="H34" s="214"/>
      <c r="I34" s="18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17" t="s">
        <v>99</v>
      </c>
      <c r="B35" s="145"/>
      <c r="C35" s="145"/>
      <c r="D35" s="145"/>
      <c r="E35" s="145"/>
      <c r="F35" s="145"/>
      <c r="G35" s="145"/>
      <c r="H35" s="1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2"/>
      <c r="C36" s="2"/>
      <c r="D36" s="2"/>
      <c r="E36" s="2"/>
      <c r="F36" s="2"/>
      <c r="G36" s="2"/>
      <c r="H36" s="18"/>
      <c r="I36" s="18"/>
      <c r="J36" s="18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9" t="s">
        <v>100</v>
      </c>
      <c r="C37" s="19"/>
      <c r="D37" s="19"/>
      <c r="E37" s="19"/>
      <c r="F37" s="19"/>
      <c r="G37" s="19"/>
      <c r="H37" s="20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1"/>
      <c r="C38" s="22" t="s">
        <v>26</v>
      </c>
      <c r="D38" s="2"/>
      <c r="E38" s="23" t="s">
        <v>27</v>
      </c>
      <c r="F38" s="23"/>
      <c r="G38" s="23"/>
      <c r="H38" s="24" t="s">
        <v>28</v>
      </c>
      <c r="I38" s="18"/>
      <c r="J38" s="22"/>
      <c r="K38" s="22"/>
      <c r="L38" s="6"/>
      <c r="M38" s="6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5" t="s">
        <v>101</v>
      </c>
      <c r="C39" s="26" t="s">
        <v>29</v>
      </c>
      <c r="D39" s="26" t="s">
        <v>30</v>
      </c>
      <c r="E39" s="26" t="s">
        <v>31</v>
      </c>
      <c r="F39" s="26" t="s">
        <v>32</v>
      </c>
      <c r="G39" s="5" t="s">
        <v>33</v>
      </c>
      <c r="H39" s="27" t="s">
        <v>34</v>
      </c>
      <c r="I39" s="18"/>
      <c r="J39" s="28"/>
      <c r="K39" s="22"/>
      <c r="L39" s="22"/>
      <c r="M39" s="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9">
        <v>25.844000000000001</v>
      </c>
      <c r="C40" s="30">
        <v>0</v>
      </c>
      <c r="D40" s="31" t="str">
        <f t="shared" ref="D40:D41" si="0">IF(C40&lt;$C$15,"Yes","N0")</f>
        <v>Yes</v>
      </c>
      <c r="E40" s="32">
        <f t="shared" ref="E40:E41" si="1">IF(D40="Yes",B40,0)</f>
        <v>25.844000000000001</v>
      </c>
      <c r="F40" s="12">
        <f t="shared" ref="F40:F41" si="2">E40*C40</f>
        <v>0</v>
      </c>
      <c r="G40" s="32">
        <f t="shared" ref="G40:G41" si="3">F40/$C$15</f>
        <v>0</v>
      </c>
      <c r="H40" s="33">
        <f>E40-G40</f>
        <v>25.844000000000001</v>
      </c>
      <c r="I40" s="18"/>
      <c r="J40" s="34"/>
      <c r="K40" s="34"/>
      <c r="L40" s="13"/>
      <c r="M40" s="34"/>
      <c r="N40" s="3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9">
        <v>28.452000000000002</v>
      </c>
      <c r="C41" s="30">
        <v>32.659999999999997</v>
      </c>
      <c r="D41" s="31" t="str">
        <f t="shared" si="0"/>
        <v>N0</v>
      </c>
      <c r="E41" s="32">
        <f t="shared" si="1"/>
        <v>0</v>
      </c>
      <c r="F41" s="12">
        <f t="shared" si="2"/>
        <v>0</v>
      </c>
      <c r="G41" s="32">
        <f t="shared" si="3"/>
        <v>0</v>
      </c>
      <c r="H41" s="33">
        <f t="shared" ref="H41" si="4">E41-G41</f>
        <v>0</v>
      </c>
      <c r="I41" s="18"/>
      <c r="J41" s="34"/>
      <c r="K41" s="34"/>
      <c r="L41" s="13"/>
      <c r="M41" s="34"/>
      <c r="N41" s="3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9"/>
      <c r="C42" s="30"/>
      <c r="D42" s="31"/>
      <c r="E42" s="32"/>
      <c r="F42" s="12"/>
      <c r="G42" s="32"/>
      <c r="H42" s="33"/>
      <c r="I42" s="18"/>
      <c r="J42" s="34"/>
      <c r="K42" s="34"/>
      <c r="L42" s="13"/>
      <c r="M42" s="34"/>
      <c r="N42" s="3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9"/>
      <c r="C43" s="30"/>
      <c r="D43" s="31"/>
      <c r="E43" s="32"/>
      <c r="F43" s="12"/>
      <c r="G43" s="32"/>
      <c r="H43" s="33"/>
      <c r="I43" s="18"/>
      <c r="J43" s="34"/>
      <c r="K43" s="34"/>
      <c r="L43" s="13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9"/>
      <c r="C44" s="30"/>
      <c r="D44" s="31"/>
      <c r="E44" s="32"/>
      <c r="F44" s="12"/>
      <c r="G44" s="32"/>
      <c r="H44" s="33"/>
      <c r="I44" s="18"/>
      <c r="J44" s="34"/>
      <c r="K44" s="34"/>
      <c r="L44" s="13"/>
      <c r="M44" s="34"/>
      <c r="N44" s="3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5"/>
      <c r="D45" s="5"/>
      <c r="E45" s="5"/>
      <c r="F45" s="5"/>
      <c r="G45" s="5"/>
      <c r="H45" s="35">
        <f>SUM(H40:H44)</f>
        <v>25.844000000000001</v>
      </c>
      <c r="I45" s="18"/>
      <c r="J45" s="2"/>
      <c r="K45" s="2"/>
      <c r="L45" s="2"/>
      <c r="M45" s="2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18"/>
      <c r="I46" s="18"/>
      <c r="J46" s="18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9" t="s">
        <v>102</v>
      </c>
      <c r="C47" s="19"/>
      <c r="D47" s="19"/>
      <c r="E47" s="19"/>
      <c r="F47" s="19"/>
      <c r="G47" s="20"/>
      <c r="H47" s="18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59"/>
      <c r="C48" s="60"/>
      <c r="D48" s="60"/>
      <c r="E48" s="266" t="s">
        <v>103</v>
      </c>
      <c r="F48" s="36"/>
      <c r="G48" s="267" t="s">
        <v>104</v>
      </c>
      <c r="H48" s="18"/>
      <c r="I48" s="18"/>
      <c r="J48" s="37"/>
      <c r="K48" s="37"/>
      <c r="L48" s="2"/>
      <c r="M48" s="2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1" t="s">
        <v>105</v>
      </c>
      <c r="C49" s="62" t="s">
        <v>106</v>
      </c>
      <c r="D49" s="62" t="s">
        <v>107</v>
      </c>
      <c r="E49" s="260"/>
      <c r="F49" s="37" t="s">
        <v>108</v>
      </c>
      <c r="G49" s="268"/>
      <c r="H49" s="18"/>
      <c r="I49" s="18"/>
      <c r="J49" s="37"/>
      <c r="K49" s="62"/>
      <c r="L49" s="37"/>
      <c r="M49" s="2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8"/>
      <c r="D50" s="8"/>
      <c r="E50" s="38"/>
      <c r="F50" s="39"/>
      <c r="G50" s="40"/>
      <c r="H50" s="18"/>
      <c r="I50" s="18"/>
      <c r="J50" s="2"/>
      <c r="K50" s="13"/>
      <c r="L50" s="41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8"/>
      <c r="D51" s="8"/>
      <c r="E51" s="38"/>
      <c r="F51" s="39"/>
      <c r="G51" s="40"/>
      <c r="H51" s="18"/>
      <c r="I51" s="18"/>
      <c r="J51" s="2"/>
      <c r="K51" s="13"/>
      <c r="L51" s="41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8"/>
      <c r="D52" s="8"/>
      <c r="E52" s="38"/>
      <c r="F52" s="42"/>
      <c r="G52" s="40"/>
      <c r="H52" s="18"/>
      <c r="I52" s="18"/>
      <c r="J52" s="2"/>
      <c r="K52" s="13"/>
      <c r="L52" s="41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3"/>
      <c r="D53" s="43"/>
      <c r="E53" s="43"/>
      <c r="F53" s="44"/>
      <c r="G53" s="45"/>
      <c r="H53" s="18"/>
      <c r="I53" s="18"/>
      <c r="J53" s="2"/>
      <c r="K53" s="13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18"/>
      <c r="I55" s="18"/>
      <c r="J55" s="18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18"/>
      <c r="I56" s="18"/>
      <c r="J56" s="18"/>
      <c r="K56" s="18"/>
      <c r="L56" s="270" t="s">
        <v>134</v>
      </c>
      <c r="M56" s="271"/>
      <c r="N56" s="24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109</v>
      </c>
      <c r="B57" s="1"/>
      <c r="C57" s="1"/>
      <c r="D57" s="1"/>
      <c r="E57" s="1"/>
      <c r="F57" s="1"/>
      <c r="G57" s="1"/>
      <c r="H57" s="113" t="s">
        <v>110</v>
      </c>
      <c r="I57" s="113" t="s">
        <v>111</v>
      </c>
      <c r="J57" s="113" t="s">
        <v>112</v>
      </c>
      <c r="K57" s="113" t="s">
        <v>35</v>
      </c>
      <c r="L57" s="113" t="s">
        <v>113</v>
      </c>
      <c r="M57" s="113" t="s">
        <v>114</v>
      </c>
      <c r="N57" s="113" t="s">
        <v>115</v>
      </c>
      <c r="O57" s="102"/>
      <c r="P57" s="112" t="s">
        <v>135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114" t="s">
        <v>116</v>
      </c>
      <c r="I58" s="114"/>
      <c r="J58" s="114"/>
      <c r="K58" s="114"/>
      <c r="L58" s="127">
        <v>45657</v>
      </c>
      <c r="M58" s="115">
        <f t="shared" ref="M58:N58" si="5">EDATE(L58,12)</f>
        <v>46022</v>
      </c>
      <c r="N58" s="115">
        <f t="shared" si="5"/>
        <v>46387</v>
      </c>
      <c r="O58" s="10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87" customFormat="1" ht="15.75" customHeight="1">
      <c r="A59" s="47" t="s">
        <v>117</v>
      </c>
      <c r="B59" s="47"/>
      <c r="C59" s="47"/>
      <c r="D59" s="47"/>
      <c r="E59" s="47"/>
      <c r="F59" s="47"/>
      <c r="G59" s="47"/>
      <c r="H59" s="116">
        <v>58496</v>
      </c>
      <c r="I59" s="116"/>
      <c r="J59" s="117"/>
      <c r="K59" s="118">
        <f>H59+I59-J59</f>
        <v>58496</v>
      </c>
      <c r="L59" s="116">
        <v>59948</v>
      </c>
      <c r="M59" s="116">
        <v>62561</v>
      </c>
      <c r="N59" s="116">
        <v>63274</v>
      </c>
      <c r="O59" s="105"/>
      <c r="P59" s="104">
        <f>(N59/H59)^(1/3)-1</f>
        <v>2.6517537564947569E-2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5.25" customHeight="1">
      <c r="A60" s="2"/>
      <c r="B60" s="2"/>
      <c r="C60" s="2"/>
      <c r="D60" s="2"/>
      <c r="E60" s="2"/>
      <c r="F60" s="2"/>
      <c r="G60" s="2"/>
      <c r="H60" s="119"/>
      <c r="I60" s="119"/>
      <c r="J60" s="119"/>
      <c r="K60" s="119"/>
      <c r="L60" s="120"/>
      <c r="M60" s="120"/>
      <c r="N60" s="120"/>
      <c r="O60" s="7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 t="s">
        <v>118</v>
      </c>
      <c r="B61" s="2"/>
      <c r="C61" s="2"/>
      <c r="D61" s="2"/>
      <c r="E61" s="2"/>
      <c r="F61" s="2"/>
      <c r="G61" s="2"/>
      <c r="H61" s="121">
        <v>1058</v>
      </c>
      <c r="I61" s="121"/>
      <c r="J61" s="121"/>
      <c r="K61" s="118">
        <f>H61+I61-J61</f>
        <v>1058</v>
      </c>
      <c r="L61" s="120"/>
      <c r="M61" s="120"/>
      <c r="N61" s="120"/>
      <c r="O61" s="7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 t="s">
        <v>119</v>
      </c>
      <c r="B62" s="47"/>
      <c r="C62" s="47"/>
      <c r="D62" s="47"/>
      <c r="E62" s="47"/>
      <c r="F62" s="47"/>
      <c r="G62" s="47"/>
      <c r="H62" s="121">
        <v>8242</v>
      </c>
      <c r="I62" s="121"/>
      <c r="J62" s="121"/>
      <c r="K62" s="128"/>
      <c r="L62" s="124"/>
      <c r="M62" s="124"/>
      <c r="N62" s="124"/>
      <c r="O62" s="99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s="87" customFormat="1" ht="15.75" customHeight="1">
      <c r="A63" s="47" t="s">
        <v>120</v>
      </c>
      <c r="B63" s="47"/>
      <c r="C63" s="47"/>
      <c r="D63" s="47"/>
      <c r="E63" s="47"/>
      <c r="F63" s="47"/>
      <c r="G63" s="47"/>
      <c r="H63" s="118">
        <f>H61+H62</f>
        <v>9300</v>
      </c>
      <c r="I63" s="118"/>
      <c r="J63" s="118"/>
      <c r="K63" s="118">
        <f>H63+I63-J63</f>
        <v>9300</v>
      </c>
      <c r="L63" s="116">
        <v>16357</v>
      </c>
      <c r="M63" s="116">
        <v>19060</v>
      </c>
      <c r="N63" s="116">
        <v>19958</v>
      </c>
      <c r="O63" s="101"/>
      <c r="P63" s="104">
        <f>(N63/H63)^(1/3)-1</f>
        <v>0.28986628130931069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" t="s">
        <v>121</v>
      </c>
      <c r="B64" s="2"/>
      <c r="C64" s="2"/>
      <c r="D64" s="2"/>
      <c r="E64" s="2"/>
      <c r="F64" s="2"/>
      <c r="G64" s="2"/>
      <c r="H64" s="121">
        <v>6290</v>
      </c>
      <c r="I64" s="121"/>
      <c r="J64" s="121"/>
      <c r="K64" s="119"/>
      <c r="L64" s="120"/>
      <c r="M64" s="120"/>
      <c r="N64" s="120"/>
      <c r="O64" s="7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47" t="s">
        <v>122</v>
      </c>
      <c r="B65" s="47"/>
      <c r="C65" s="47"/>
      <c r="D65" s="47"/>
      <c r="E65" s="47"/>
      <c r="F65" s="47"/>
      <c r="G65" s="47"/>
      <c r="H65" s="118">
        <f t="shared" ref="H65" si="6">H63+H64</f>
        <v>15590</v>
      </c>
      <c r="I65" s="118"/>
      <c r="J65" s="118"/>
      <c r="K65" s="118">
        <f>H65+I65-J65</f>
        <v>15590</v>
      </c>
      <c r="L65" s="121">
        <v>19802</v>
      </c>
      <c r="M65" s="121">
        <v>22661</v>
      </c>
      <c r="N65" s="121">
        <v>23561</v>
      </c>
      <c r="O65" s="84"/>
      <c r="P65" s="46">
        <f>(N65/H65)^(1/3)-1</f>
        <v>0.1475788477309905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6" customHeight="1">
      <c r="A66" s="2"/>
      <c r="B66" s="2"/>
      <c r="C66" s="2"/>
      <c r="D66" s="2"/>
      <c r="E66" s="2"/>
      <c r="F66" s="2"/>
      <c r="G66" s="2"/>
      <c r="H66" s="119"/>
      <c r="I66" s="119"/>
      <c r="J66" s="119"/>
      <c r="K66" s="119"/>
      <c r="L66" s="120"/>
      <c r="M66" s="120"/>
      <c r="N66" s="120"/>
      <c r="O66" s="77"/>
      <c r="P66" s="47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87" customFormat="1" ht="15.75" customHeight="1">
      <c r="A67" s="47" t="s">
        <v>123</v>
      </c>
      <c r="B67" s="47"/>
      <c r="C67" s="47"/>
      <c r="D67" s="47"/>
      <c r="E67" s="47"/>
      <c r="F67" s="47"/>
      <c r="G67" s="47"/>
      <c r="H67" s="116">
        <v>2119</v>
      </c>
      <c r="I67" s="116"/>
      <c r="J67" s="116"/>
      <c r="K67" s="118">
        <f>H67+I67-J67</f>
        <v>2119</v>
      </c>
      <c r="L67" s="124">
        <v>6916</v>
      </c>
      <c r="M67" s="124">
        <v>9426</v>
      </c>
      <c r="N67" s="124">
        <v>10248</v>
      </c>
      <c r="O67" s="99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2" t="s">
        <v>124</v>
      </c>
      <c r="B68" s="2"/>
      <c r="C68" s="2"/>
      <c r="D68" s="2"/>
      <c r="E68" s="2"/>
      <c r="F68" s="2"/>
      <c r="G68" s="2"/>
      <c r="H68" s="125">
        <f>H62</f>
        <v>8242</v>
      </c>
      <c r="I68" s="125"/>
      <c r="J68" s="125"/>
      <c r="K68" s="120"/>
      <c r="L68" s="120"/>
      <c r="M68" s="120"/>
      <c r="N68" s="120"/>
      <c r="O68" s="7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125</v>
      </c>
      <c r="B69" s="2"/>
      <c r="C69" s="2"/>
      <c r="D69" s="2"/>
      <c r="E69" s="2"/>
      <c r="F69" s="2"/>
      <c r="G69" s="2"/>
      <c r="H69" s="121">
        <v>2333</v>
      </c>
      <c r="I69" s="121"/>
      <c r="J69" s="121"/>
      <c r="K69" s="120"/>
      <c r="L69" s="120"/>
      <c r="M69" s="120"/>
      <c r="N69" s="120"/>
      <c r="O69" s="7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126</v>
      </c>
      <c r="B70" s="2"/>
      <c r="C70" s="2"/>
      <c r="D70" s="2"/>
      <c r="E70" s="2"/>
      <c r="F70" s="2"/>
      <c r="G70" s="2"/>
      <c r="H70" s="125">
        <v>-2131</v>
      </c>
      <c r="I70" s="125"/>
      <c r="J70" s="125"/>
      <c r="K70" s="120"/>
      <c r="L70" s="120"/>
      <c r="M70" s="120"/>
      <c r="N70" s="120"/>
      <c r="O70" s="7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127</v>
      </c>
      <c r="B71" s="2"/>
      <c r="C71" s="2"/>
      <c r="D71" s="2"/>
      <c r="E71" s="2"/>
      <c r="F71" s="2"/>
      <c r="G71" s="2"/>
      <c r="H71" s="121">
        <v>1115</v>
      </c>
      <c r="I71" s="121"/>
      <c r="J71" s="121"/>
      <c r="K71" s="120"/>
      <c r="L71" s="120"/>
      <c r="M71" s="120"/>
      <c r="N71" s="120"/>
      <c r="O71" s="7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87" customFormat="1" ht="15.75" customHeight="1">
      <c r="A72" s="47" t="s">
        <v>128</v>
      </c>
      <c r="B72" s="47"/>
      <c r="C72" s="47"/>
      <c r="D72" s="47"/>
      <c r="E72" s="47"/>
      <c r="F72" s="47"/>
      <c r="G72" s="47"/>
      <c r="H72" s="118">
        <f>SUM(H67:H71)-H68</f>
        <v>3436</v>
      </c>
      <c r="I72" s="118"/>
      <c r="J72" s="118"/>
      <c r="K72" s="128">
        <f>H72</f>
        <v>3436</v>
      </c>
      <c r="L72" s="124">
        <f>6916</f>
        <v>6916</v>
      </c>
      <c r="M72" s="124">
        <v>9426</v>
      </c>
      <c r="N72" s="124">
        <f>N67</f>
        <v>10248</v>
      </c>
      <c r="O72" s="99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2" t="s">
        <v>129</v>
      </c>
      <c r="B73" s="2"/>
      <c r="C73" s="2"/>
      <c r="D73" s="2"/>
      <c r="E73" s="2"/>
      <c r="F73" s="2"/>
      <c r="G73" s="2"/>
      <c r="H73" s="121">
        <v>39</v>
      </c>
      <c r="I73" s="121"/>
      <c r="J73" s="121"/>
      <c r="K73" s="119">
        <f>H73</f>
        <v>39</v>
      </c>
      <c r="L73" s="119">
        <f>K73</f>
        <v>39</v>
      </c>
      <c r="M73" s="119">
        <f>L73</f>
        <v>39</v>
      </c>
      <c r="N73" s="119">
        <f>M73</f>
        <v>39</v>
      </c>
      <c r="O73" s="7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87" customFormat="1" ht="15.75" customHeight="1">
      <c r="A74" s="47" t="s">
        <v>130</v>
      </c>
      <c r="B74" s="47"/>
      <c r="C74" s="47"/>
      <c r="D74" s="47"/>
      <c r="E74" s="47"/>
      <c r="F74" s="47"/>
      <c r="G74" s="47"/>
      <c r="H74" s="118">
        <f t="shared" ref="H74" si="7">H72-H73</f>
        <v>3397</v>
      </c>
      <c r="I74" s="118"/>
      <c r="J74" s="118"/>
      <c r="K74" s="118">
        <f>K72-K73</f>
        <v>3397</v>
      </c>
      <c r="L74" s="118">
        <f t="shared" ref="L74:N74" si="8">L72-L73</f>
        <v>6877</v>
      </c>
      <c r="M74" s="118">
        <f t="shared" si="8"/>
        <v>9387</v>
      </c>
      <c r="N74" s="118">
        <f t="shared" si="8"/>
        <v>10209</v>
      </c>
      <c r="O74" s="101"/>
      <c r="P74" s="104">
        <f>(N74/H74)^(1/3)-1</f>
        <v>0.44309820220096774</v>
      </c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2"/>
      <c r="B75" s="2"/>
      <c r="C75" s="2"/>
      <c r="D75" s="2"/>
      <c r="E75" s="2"/>
      <c r="F75" s="2"/>
      <c r="G75" s="2"/>
      <c r="H75" s="119"/>
      <c r="I75" s="119"/>
      <c r="J75" s="119"/>
      <c r="K75" s="119"/>
      <c r="L75" s="120"/>
      <c r="M75" s="120"/>
      <c r="N75" s="120"/>
      <c r="O75" s="7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 t="s">
        <v>131</v>
      </c>
      <c r="B76" s="2"/>
      <c r="C76" s="2"/>
      <c r="D76" s="2"/>
      <c r="E76" s="2"/>
      <c r="F76" s="2"/>
      <c r="G76" s="2"/>
      <c r="H76" s="121">
        <f>C17</f>
        <v>5672.8440000000001</v>
      </c>
      <c r="I76" s="121"/>
      <c r="J76" s="121"/>
      <c r="K76" s="119"/>
      <c r="L76" s="120"/>
      <c r="M76" s="120"/>
      <c r="N76" s="120"/>
      <c r="O76" s="7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87" customFormat="1" ht="15.75" customHeight="1">
      <c r="A77" s="47" t="s">
        <v>132</v>
      </c>
      <c r="B77" s="47"/>
      <c r="C77" s="47"/>
      <c r="D77" s="47"/>
      <c r="E77" s="47"/>
      <c r="F77" s="47"/>
      <c r="G77" s="47"/>
      <c r="H77" s="126">
        <f>H74/$H$76</f>
        <v>0.59881780637718929</v>
      </c>
      <c r="I77" s="126"/>
      <c r="J77" s="126"/>
      <c r="K77" s="126">
        <f>K74/$H$76</f>
        <v>0.59881780637718929</v>
      </c>
      <c r="L77" s="126">
        <f>L74/$H$76</f>
        <v>1.2122667219475805</v>
      </c>
      <c r="M77" s="126">
        <f>M74/$H$76</f>
        <v>1.6547255662239257</v>
      </c>
      <c r="N77" s="126">
        <f>N74/$H$76</f>
        <v>1.7996264307638286</v>
      </c>
      <c r="O77" s="99"/>
      <c r="P77" s="104">
        <f>(N77/H77)^(1/3)-1</f>
        <v>0.44309820220096774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2"/>
      <c r="B78" s="2"/>
      <c r="C78" s="2"/>
      <c r="D78" s="2"/>
      <c r="E78" s="2"/>
      <c r="F78" s="2"/>
      <c r="G78" s="2"/>
      <c r="H78" s="13"/>
      <c r="I78" s="13"/>
      <c r="J78" s="13"/>
      <c r="K78" s="13"/>
      <c r="L78" s="37" t="s">
        <v>168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97"/>
      <c r="C80" s="77"/>
      <c r="D80" s="77"/>
      <c r="E80" s="269"/>
      <c r="F80" s="240"/>
      <c r="G80" s="240"/>
      <c r="H80" s="77"/>
      <c r="I80" s="269"/>
      <c r="J80" s="240"/>
      <c r="K80" s="240"/>
      <c r="L80" s="77"/>
      <c r="M80" s="269"/>
      <c r="N80" s="240"/>
      <c r="O80" s="240"/>
      <c r="P80" s="77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98"/>
      <c r="C81" s="77"/>
      <c r="D81" s="77"/>
      <c r="E81" s="98"/>
      <c r="F81" s="98"/>
      <c r="G81" s="98"/>
      <c r="H81" s="77"/>
      <c r="I81" s="98"/>
      <c r="J81" s="98"/>
      <c r="K81" s="98"/>
      <c r="L81" s="77"/>
      <c r="M81" s="98"/>
      <c r="N81" s="98"/>
      <c r="O81" s="98"/>
      <c r="P81" s="77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99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47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2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99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47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2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99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75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76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47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D4:F4"/>
    <mergeCell ref="B109:B110"/>
    <mergeCell ref="G13:I13"/>
    <mergeCell ref="E48:E49"/>
    <mergeCell ref="G48:G49"/>
    <mergeCell ref="M48:M49"/>
    <mergeCell ref="L56:N56"/>
    <mergeCell ref="I80:K80"/>
    <mergeCell ref="M80:O80"/>
    <mergeCell ref="E80:G80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showGridLines="0" topLeftCell="A71" zoomScale="76" workbookViewId="0">
      <selection activeCell="L79" sqref="L79"/>
    </sheetView>
  </sheetViews>
  <sheetFormatPr defaultColWidth="14.453125" defaultRowHeight="15" customHeight="1"/>
  <cols>
    <col min="1" max="1" width="3.453125" style="48" customWidth="1"/>
    <col min="2" max="2" width="33.54296875" style="48" customWidth="1"/>
    <col min="3" max="3" width="11.453125" style="48" customWidth="1"/>
    <col min="4" max="4" width="10.54296875" style="48" customWidth="1"/>
    <col min="5" max="5" width="12.26953125" style="48" customWidth="1"/>
    <col min="6" max="6" width="11.453125" style="48" customWidth="1"/>
    <col min="7" max="7" width="13.453125" style="48" customWidth="1"/>
    <col min="8" max="8" width="14" style="48" customWidth="1"/>
    <col min="9" max="9" width="13" style="48" customWidth="1"/>
    <col min="10" max="10" width="9.54296875" style="48" customWidth="1"/>
    <col min="11" max="11" width="12" style="48" customWidth="1"/>
    <col min="12" max="12" width="10.453125" style="48" customWidth="1"/>
    <col min="13" max="13" width="11.54296875" style="48" customWidth="1"/>
    <col min="14" max="26" width="11.453125" style="48" customWidth="1"/>
    <col min="27" max="16384" width="14.453125" style="48"/>
  </cols>
  <sheetData>
    <row r="1" spans="1:26" ht="23" customHeight="1">
      <c r="A1" s="64" t="s">
        <v>140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6" t="s">
        <v>139</v>
      </c>
      <c r="B2" s="65"/>
      <c r="C2" s="65"/>
      <c r="D2" s="65"/>
      <c r="E2" s="65"/>
      <c r="F2" s="6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9" t="s">
        <v>71</v>
      </c>
      <c r="B4" s="90"/>
      <c r="C4" s="90"/>
      <c r="D4" s="90"/>
      <c r="E4" s="90"/>
      <c r="F4" s="9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72</v>
      </c>
      <c r="B5" s="2"/>
      <c r="C5" s="2"/>
      <c r="D5" s="152"/>
      <c r="E5" s="92" t="s">
        <v>154</v>
      </c>
      <c r="F5" s="15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73</v>
      </c>
      <c r="B6" s="2"/>
      <c r="C6" s="2"/>
      <c r="D6" s="143"/>
      <c r="E6" s="93">
        <v>45406</v>
      </c>
      <c r="F6" s="14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74</v>
      </c>
      <c r="B7" s="2"/>
      <c r="C7" s="2"/>
      <c r="D7" s="156"/>
      <c r="E7" s="94" t="s">
        <v>159</v>
      </c>
      <c r="F7" s="15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75</v>
      </c>
      <c r="B8" s="2"/>
      <c r="C8" s="2"/>
      <c r="D8" s="158"/>
      <c r="E8" s="108">
        <v>45291</v>
      </c>
      <c r="F8" s="15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76</v>
      </c>
      <c r="B9" s="2"/>
      <c r="C9" s="2"/>
      <c r="D9" s="158"/>
      <c r="E9" s="108">
        <v>45291</v>
      </c>
      <c r="F9" s="15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 t="s">
        <v>59</v>
      </c>
      <c r="B10" s="2"/>
      <c r="C10" s="2"/>
      <c r="D10" s="156"/>
      <c r="E10" s="94" t="s">
        <v>43</v>
      </c>
      <c r="F10" s="15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4" t="s">
        <v>77</v>
      </c>
      <c r="B11" s="5"/>
      <c r="C11" s="5"/>
      <c r="D11" s="154"/>
      <c r="E11" s="106">
        <v>0.21</v>
      </c>
      <c r="F11" s="1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65"/>
      <c r="H13" s="260"/>
      <c r="I13" s="26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9" t="s">
        <v>78</v>
      </c>
      <c r="B14" s="19"/>
      <c r="C14" s="50" t="s">
        <v>79</v>
      </c>
      <c r="D14" s="50" t="s">
        <v>80</v>
      </c>
      <c r="E14" s="50" t="s">
        <v>81</v>
      </c>
      <c r="F14" s="20"/>
      <c r="G14" s="2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82</v>
      </c>
      <c r="B15" s="2"/>
      <c r="C15" s="8">
        <f>D15</f>
        <v>906.54</v>
      </c>
      <c r="D15" s="8">
        <v>906.54</v>
      </c>
      <c r="E15" s="8"/>
      <c r="F15" s="9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83</v>
      </c>
      <c r="B16" s="2"/>
      <c r="C16" s="8">
        <f>1818146/10^6</f>
        <v>1.818146</v>
      </c>
      <c r="D16" s="38">
        <f>107943750/10^6</f>
        <v>107.94374999999999</v>
      </c>
      <c r="E16" s="8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84</v>
      </c>
      <c r="B17" s="2"/>
      <c r="C17" s="12">
        <f>C16</f>
        <v>1.818146</v>
      </c>
      <c r="D17" s="39">
        <f>D16+H45+G53</f>
        <v>116.07716275619387</v>
      </c>
      <c r="E17" s="12"/>
      <c r="F17" s="11"/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64</v>
      </c>
      <c r="B18" s="2"/>
      <c r="C18" s="12">
        <f>C17*C15</f>
        <v>1648.22207484</v>
      </c>
      <c r="D18" s="12">
        <f t="shared" ref="D18" si="0">D15*D17</f>
        <v>105228.59112499999</v>
      </c>
      <c r="E18" s="12"/>
      <c r="F18" s="14">
        <f>C18+D18+E18</f>
        <v>106876.81319983999</v>
      </c>
      <c r="G18" s="2"/>
      <c r="H18" s="2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 t="s">
        <v>3</v>
      </c>
      <c r="B19" s="2"/>
      <c r="C19" s="2"/>
      <c r="D19" s="13"/>
      <c r="E19" s="13"/>
      <c r="F19" s="15">
        <v>323.2</v>
      </c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 t="s">
        <v>85</v>
      </c>
      <c r="B20" s="2"/>
      <c r="C20" s="2"/>
      <c r="D20" s="13"/>
      <c r="E20" s="13"/>
      <c r="F20" s="14">
        <f>E21</f>
        <v>0</v>
      </c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/>
      <c r="B21" s="2" t="s">
        <v>86</v>
      </c>
      <c r="C21" s="2"/>
      <c r="D21" s="2"/>
      <c r="E21" s="51">
        <v>0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/>
      <c r="B22" s="37" t="s">
        <v>87</v>
      </c>
      <c r="C22" s="2"/>
      <c r="D22" s="2"/>
      <c r="E22" s="52">
        <v>0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 t="s">
        <v>88</v>
      </c>
      <c r="B23" s="2"/>
      <c r="C23" s="2"/>
      <c r="D23" s="2"/>
      <c r="E23" s="13"/>
      <c r="F23" s="14">
        <f>1983.9+720</f>
        <v>2703.9</v>
      </c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/>
      <c r="B24" s="37" t="s">
        <v>89</v>
      </c>
      <c r="C24" s="37"/>
      <c r="D24" s="2"/>
      <c r="E24" s="51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/>
      <c r="B25" s="37" t="s">
        <v>90</v>
      </c>
      <c r="C25" s="37"/>
      <c r="D25" s="2"/>
      <c r="E25" s="52">
        <v>0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 t="s">
        <v>91</v>
      </c>
      <c r="B26" s="2"/>
      <c r="C26" s="2"/>
      <c r="D26" s="2"/>
      <c r="E26" s="13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/>
      <c r="B27" s="2" t="s">
        <v>92</v>
      </c>
      <c r="C27" s="2"/>
      <c r="D27" s="2"/>
      <c r="E27" s="13"/>
      <c r="F27" s="15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/>
      <c r="B28" s="2" t="s">
        <v>93</v>
      </c>
      <c r="C28" s="2"/>
      <c r="D28" s="2"/>
      <c r="E28" s="2"/>
      <c r="F28" s="15">
        <v>87.7</v>
      </c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 t="s">
        <v>94</v>
      </c>
      <c r="B29" s="2"/>
      <c r="C29" s="2"/>
      <c r="D29" s="2"/>
      <c r="E29" s="13"/>
      <c r="F29" s="15">
        <v>192.5</v>
      </c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3" t="s">
        <v>95</v>
      </c>
      <c r="B30" s="54"/>
      <c r="C30" s="54"/>
      <c r="D30" s="55"/>
      <c r="E30" s="55"/>
      <c r="F30" s="56">
        <f>F18+F19+F20+F23+F27+F28-F29</f>
        <v>109799.11319983998</v>
      </c>
      <c r="G30" s="2"/>
      <c r="H30" s="2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96</v>
      </c>
      <c r="B31" s="47"/>
      <c r="C31" s="47"/>
      <c r="D31" s="57"/>
      <c r="E31" s="57"/>
      <c r="F31" s="15">
        <v>291.3</v>
      </c>
      <c r="G31" s="277"/>
      <c r="H31" s="260"/>
      <c r="I31" s="26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97</v>
      </c>
      <c r="B32" s="47"/>
      <c r="C32" s="47"/>
      <c r="D32" s="57"/>
      <c r="E32" s="57"/>
      <c r="F32" s="14">
        <f>F30-F31</f>
        <v>109507.81319983998</v>
      </c>
      <c r="G32" s="2"/>
      <c r="H32" s="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4" t="s">
        <v>98</v>
      </c>
      <c r="B33" s="5"/>
      <c r="C33" s="5"/>
      <c r="D33" s="5"/>
      <c r="E33" s="5"/>
      <c r="F33" s="63">
        <f>F18/SUM(C17:E17)</f>
        <v>906.54</v>
      </c>
      <c r="G33" s="2"/>
      <c r="H33" s="2"/>
      <c r="I33" s="2"/>
      <c r="J33" s="5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18"/>
      <c r="I34" s="18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17" t="s">
        <v>99</v>
      </c>
      <c r="B35" s="217"/>
      <c r="C35" s="217"/>
      <c r="D35" s="217"/>
      <c r="E35" s="217"/>
      <c r="F35" s="217"/>
      <c r="G35" s="217"/>
      <c r="H35" s="2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2"/>
      <c r="C36" s="2"/>
      <c r="D36" s="2"/>
      <c r="E36" s="2"/>
      <c r="F36" s="2"/>
      <c r="G36" s="2"/>
      <c r="H36" s="18"/>
      <c r="I36" s="18"/>
      <c r="J36" s="18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9" t="s">
        <v>133</v>
      </c>
      <c r="C37" s="19"/>
      <c r="D37" s="19"/>
      <c r="E37" s="19"/>
      <c r="F37" s="19"/>
      <c r="G37" s="19"/>
      <c r="H37" s="20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1"/>
      <c r="C38" s="22" t="s">
        <v>26</v>
      </c>
      <c r="D38" s="2"/>
      <c r="E38" s="23" t="s">
        <v>27</v>
      </c>
      <c r="F38" s="23"/>
      <c r="G38" s="23"/>
      <c r="H38" s="24" t="s">
        <v>28</v>
      </c>
      <c r="I38" s="18"/>
      <c r="J38" s="22"/>
      <c r="K38" s="22"/>
      <c r="L38" s="6"/>
      <c r="M38" s="6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5" t="s">
        <v>101</v>
      </c>
      <c r="C39" s="26" t="s">
        <v>29</v>
      </c>
      <c r="D39" s="26" t="s">
        <v>30</v>
      </c>
      <c r="E39" s="26" t="s">
        <v>31</v>
      </c>
      <c r="F39" s="26" t="s">
        <v>32</v>
      </c>
      <c r="G39" s="5" t="s">
        <v>33</v>
      </c>
      <c r="H39" s="27" t="s">
        <v>34</v>
      </c>
      <c r="I39" s="18"/>
      <c r="J39" s="28"/>
      <c r="K39" s="22"/>
      <c r="L39" s="22"/>
      <c r="M39" s="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9">
        <v>14.2</v>
      </c>
      <c r="C40" s="30">
        <v>534.13</v>
      </c>
      <c r="D40" s="31" t="str">
        <f>IF(C40&lt;$D$15,"Yes","N0")</f>
        <v>Yes</v>
      </c>
      <c r="E40" s="32">
        <f t="shared" ref="E40" si="1">IF(D40="Yes",B40,0)</f>
        <v>14.2</v>
      </c>
      <c r="F40" s="12">
        <f t="shared" ref="F40:F41" si="2">E40*C40</f>
        <v>7584.6459999999997</v>
      </c>
      <c r="G40" s="32">
        <f>F40/D15</f>
        <v>8.3665872438061193</v>
      </c>
      <c r="H40" s="33">
        <f t="shared" ref="H40:H41" si="3">E40-G40</f>
        <v>5.83341275619388</v>
      </c>
      <c r="I40" s="18"/>
      <c r="J40" s="34"/>
      <c r="K40" s="34"/>
      <c r="L40" s="13"/>
      <c r="M40" s="34"/>
      <c r="N40" s="3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9">
        <v>2.2999999999999998</v>
      </c>
      <c r="C41" s="30">
        <v>0</v>
      </c>
      <c r="D41" s="31"/>
      <c r="E41" s="32">
        <v>2.2999999999999998</v>
      </c>
      <c r="F41" s="12">
        <f t="shared" si="2"/>
        <v>0</v>
      </c>
      <c r="G41" s="32"/>
      <c r="H41" s="33">
        <f t="shared" si="3"/>
        <v>2.2999999999999998</v>
      </c>
      <c r="I41" s="18"/>
      <c r="J41" s="34"/>
      <c r="K41" s="34"/>
      <c r="L41" s="13"/>
      <c r="M41" s="34"/>
      <c r="N41" s="3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9"/>
      <c r="C42" s="30"/>
      <c r="D42" s="31"/>
      <c r="E42" s="32"/>
      <c r="F42" s="12"/>
      <c r="G42" s="32"/>
      <c r="H42" s="33"/>
      <c r="I42" s="18"/>
      <c r="J42" s="34"/>
      <c r="K42" s="34"/>
      <c r="L42" s="13"/>
      <c r="M42" s="34"/>
      <c r="N42" s="3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9"/>
      <c r="C43" s="30"/>
      <c r="D43" s="31"/>
      <c r="E43" s="32"/>
      <c r="F43" s="12"/>
      <c r="G43" s="32"/>
      <c r="H43" s="33"/>
      <c r="I43" s="18"/>
      <c r="J43" s="34"/>
      <c r="K43" s="34"/>
      <c r="L43" s="13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9"/>
      <c r="C44" s="30"/>
      <c r="D44" s="31"/>
      <c r="E44" s="32"/>
      <c r="F44" s="12"/>
      <c r="G44" s="32"/>
      <c r="H44" s="33"/>
      <c r="I44" s="18"/>
      <c r="J44" s="34"/>
      <c r="K44" s="34"/>
      <c r="L44" s="13"/>
      <c r="M44" s="34"/>
      <c r="N44" s="3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5"/>
      <c r="D45" s="5"/>
      <c r="E45" s="5"/>
      <c r="F45" s="5"/>
      <c r="G45" s="5"/>
      <c r="H45" s="35">
        <f>SUM(H40:H44)</f>
        <v>8.1334127561938807</v>
      </c>
      <c r="I45" s="18"/>
      <c r="J45" s="2"/>
      <c r="K45" s="2"/>
      <c r="L45" s="2"/>
      <c r="M45" s="2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18"/>
      <c r="I46" s="18"/>
      <c r="J46" s="18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9" t="s">
        <v>102</v>
      </c>
      <c r="C47" s="19"/>
      <c r="D47" s="19"/>
      <c r="E47" s="19"/>
      <c r="F47" s="19"/>
      <c r="G47" s="20"/>
      <c r="H47" s="18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59"/>
      <c r="C48" s="60"/>
      <c r="D48" s="60"/>
      <c r="E48" s="266" t="s">
        <v>103</v>
      </c>
      <c r="F48" s="36"/>
      <c r="G48" s="267" t="s">
        <v>104</v>
      </c>
      <c r="H48" s="18"/>
      <c r="I48" s="18"/>
      <c r="J48" s="37"/>
      <c r="K48" s="37"/>
      <c r="L48" s="2"/>
      <c r="M48" s="2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1" t="s">
        <v>105</v>
      </c>
      <c r="C49" s="62" t="s">
        <v>106</v>
      </c>
      <c r="D49" s="62" t="s">
        <v>107</v>
      </c>
      <c r="E49" s="260"/>
      <c r="F49" s="37" t="s">
        <v>108</v>
      </c>
      <c r="G49" s="268"/>
      <c r="H49" s="18"/>
      <c r="I49" s="18"/>
      <c r="J49" s="37"/>
      <c r="K49" s="62"/>
      <c r="L49" s="37"/>
      <c r="M49" s="2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8"/>
      <c r="D50" s="8"/>
      <c r="E50" s="38"/>
      <c r="F50" s="39"/>
      <c r="G50" s="40"/>
      <c r="H50" s="18"/>
      <c r="I50" s="18"/>
      <c r="J50" s="2"/>
      <c r="K50" s="13"/>
      <c r="L50" s="41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8"/>
      <c r="D51" s="8"/>
      <c r="E51" s="38"/>
      <c r="F51" s="39"/>
      <c r="G51" s="40"/>
      <c r="H51" s="18"/>
      <c r="I51" s="18"/>
      <c r="J51" s="2"/>
      <c r="K51" s="13"/>
      <c r="L51" s="41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8"/>
      <c r="D52" s="8"/>
      <c r="E52" s="38"/>
      <c r="F52" s="42"/>
      <c r="G52" s="40"/>
      <c r="H52" s="18"/>
      <c r="I52" s="18"/>
      <c r="J52" s="2"/>
      <c r="K52" s="13"/>
      <c r="L52" s="41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3"/>
      <c r="D53" s="43"/>
      <c r="E53" s="43"/>
      <c r="F53" s="44"/>
      <c r="G53" s="45"/>
      <c r="H53" s="18"/>
      <c r="I53" s="18"/>
      <c r="J53" s="2"/>
      <c r="K53" s="13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18"/>
      <c r="I55" s="18"/>
      <c r="J55" s="18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18"/>
      <c r="I56" s="18"/>
      <c r="J56" s="18"/>
      <c r="K56" s="18"/>
      <c r="L56" s="270" t="s">
        <v>134</v>
      </c>
      <c r="M56" s="271"/>
      <c r="N56" s="24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109</v>
      </c>
      <c r="B57" s="1"/>
      <c r="C57" s="1"/>
      <c r="D57" s="1"/>
      <c r="E57" s="1"/>
      <c r="F57" s="1"/>
      <c r="G57" s="1"/>
      <c r="H57" s="113" t="s">
        <v>110</v>
      </c>
      <c r="I57" s="113" t="s">
        <v>111</v>
      </c>
      <c r="J57" s="113" t="s">
        <v>112</v>
      </c>
      <c r="K57" s="113" t="s">
        <v>35</v>
      </c>
      <c r="L57" s="113" t="s">
        <v>113</v>
      </c>
      <c r="M57" s="113" t="s">
        <v>114</v>
      </c>
      <c r="N57" s="113" t="s">
        <v>115</v>
      </c>
      <c r="O57" s="102"/>
      <c r="P57" s="112" t="s">
        <v>135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114" t="s">
        <v>116</v>
      </c>
      <c r="I58" s="114"/>
      <c r="J58" s="114"/>
      <c r="K58" s="114"/>
      <c r="L58" s="115">
        <v>45350</v>
      </c>
      <c r="M58" s="115">
        <f t="shared" ref="M58:N58" si="4">EDATE(L58,12)</f>
        <v>45716</v>
      </c>
      <c r="N58" s="115">
        <f t="shared" si="4"/>
        <v>46081</v>
      </c>
      <c r="O58" s="10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87" customFormat="1" ht="17.5" customHeight="1">
      <c r="A59" s="47" t="s">
        <v>117</v>
      </c>
      <c r="B59" s="47"/>
      <c r="C59" s="47"/>
      <c r="D59" s="47"/>
      <c r="E59" s="47"/>
      <c r="F59" s="47"/>
      <c r="G59" s="47"/>
      <c r="H59" s="116">
        <v>13117.2</v>
      </c>
      <c r="I59" s="116"/>
      <c r="J59" s="117"/>
      <c r="K59" s="118">
        <f>H59</f>
        <v>13117.2</v>
      </c>
      <c r="L59" s="116">
        <v>13884</v>
      </c>
      <c r="M59" s="116">
        <v>14837</v>
      </c>
      <c r="N59" s="116">
        <v>15974</v>
      </c>
      <c r="O59" s="105"/>
      <c r="P59" s="104">
        <f>(N59/H59)^(1/3)-1</f>
        <v>6.7884246741398035E-2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4.5" customHeight="1">
      <c r="A60" s="2"/>
      <c r="B60" s="2"/>
      <c r="C60" s="2"/>
      <c r="D60" s="2"/>
      <c r="E60" s="2"/>
      <c r="F60" s="2"/>
      <c r="G60" s="2"/>
      <c r="H60" s="119"/>
      <c r="I60" s="119"/>
      <c r="J60" s="119"/>
      <c r="K60" s="119"/>
      <c r="L60" s="120"/>
      <c r="M60" s="120"/>
      <c r="N60" s="120"/>
      <c r="O60" s="10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 t="s">
        <v>118</v>
      </c>
      <c r="B61" s="2"/>
      <c r="C61" s="2"/>
      <c r="D61" s="2"/>
      <c r="E61" s="2"/>
      <c r="F61" s="2"/>
      <c r="G61" s="2"/>
      <c r="H61" s="121">
        <v>4047.1</v>
      </c>
      <c r="I61" s="121"/>
      <c r="J61" s="121"/>
      <c r="K61" s="118">
        <f>H61</f>
        <v>4047.1</v>
      </c>
      <c r="L61" s="122"/>
      <c r="M61" s="120"/>
      <c r="N61" s="120"/>
      <c r="O61" s="10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 t="s">
        <v>119</v>
      </c>
      <c r="B62" s="47"/>
      <c r="C62" s="47"/>
      <c r="D62" s="47"/>
      <c r="E62" s="47"/>
      <c r="F62" s="47"/>
      <c r="G62" s="47"/>
      <c r="H62" s="121">
        <v>197</v>
      </c>
      <c r="I62" s="121">
        <v>1081</v>
      </c>
      <c r="J62" s="121"/>
      <c r="K62" s="118">
        <f t="shared" ref="K62:K74" si="5">H62</f>
        <v>197</v>
      </c>
      <c r="L62" s="124"/>
      <c r="M62" s="124"/>
      <c r="N62" s="124"/>
      <c r="O62" s="111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s="87" customFormat="1" ht="15.75" customHeight="1">
      <c r="A63" s="47" t="s">
        <v>120</v>
      </c>
      <c r="B63" s="47"/>
      <c r="C63" s="47"/>
      <c r="D63" s="47"/>
      <c r="E63" s="47"/>
      <c r="F63" s="47"/>
      <c r="G63" s="47"/>
      <c r="H63" s="118">
        <f t="shared" ref="H63" si="6">H61+H62</f>
        <v>4244.1000000000004</v>
      </c>
      <c r="I63" s="118"/>
      <c r="J63" s="118"/>
      <c r="K63" s="118">
        <f t="shared" si="5"/>
        <v>4244.1000000000004</v>
      </c>
      <c r="L63" s="124">
        <v>5205</v>
      </c>
      <c r="M63" s="116">
        <v>5549</v>
      </c>
      <c r="N63" s="116">
        <v>6157</v>
      </c>
      <c r="O63" s="105"/>
      <c r="P63" s="104">
        <f>(N63/H63)^(1/3)-1</f>
        <v>0.13203845976288475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" t="s">
        <v>121</v>
      </c>
      <c r="B64" s="2"/>
      <c r="C64" s="2"/>
      <c r="D64" s="2"/>
      <c r="E64" s="2"/>
      <c r="F64" s="2"/>
      <c r="G64" s="2"/>
      <c r="H64" s="121">
        <v>421</v>
      </c>
      <c r="I64" s="121"/>
      <c r="J64" s="121"/>
      <c r="K64" s="118">
        <f t="shared" si="5"/>
        <v>421</v>
      </c>
      <c r="L64" s="120"/>
      <c r="M64" s="120"/>
      <c r="N64" s="120"/>
      <c r="O64" s="10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87" customFormat="1" ht="15.75" customHeight="1">
      <c r="A65" s="47" t="s">
        <v>122</v>
      </c>
      <c r="B65" s="47"/>
      <c r="C65" s="47"/>
      <c r="D65" s="47"/>
      <c r="E65" s="47"/>
      <c r="F65" s="47"/>
      <c r="G65" s="47"/>
      <c r="H65" s="118">
        <f t="shared" ref="H65" si="7">H64+H63</f>
        <v>4665.1000000000004</v>
      </c>
      <c r="I65" s="118"/>
      <c r="J65" s="118"/>
      <c r="K65" s="118">
        <f t="shared" si="5"/>
        <v>4665.1000000000004</v>
      </c>
      <c r="L65" s="116">
        <v>5490</v>
      </c>
      <c r="M65" s="116">
        <v>6014</v>
      </c>
      <c r="N65" s="116">
        <v>6710</v>
      </c>
      <c r="O65" s="105"/>
      <c r="P65" s="104">
        <f>(N65/H65)^(1/3)-1</f>
        <v>0.12880914934389676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6" customHeight="1">
      <c r="A66" s="2"/>
      <c r="B66" s="2"/>
      <c r="C66" s="2"/>
      <c r="D66" s="2"/>
      <c r="E66" s="2"/>
      <c r="F66" s="2"/>
      <c r="G66" s="2"/>
      <c r="H66" s="119"/>
      <c r="I66" s="119"/>
      <c r="J66" s="119"/>
      <c r="K66" s="118">
        <f t="shared" si="5"/>
        <v>0</v>
      </c>
      <c r="L66" s="120"/>
      <c r="M66" s="120"/>
      <c r="N66" s="120"/>
      <c r="O66" s="10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87" customFormat="1" ht="15.75" customHeight="1">
      <c r="A67" s="47" t="s">
        <v>123</v>
      </c>
      <c r="B67" s="47"/>
      <c r="C67" s="47"/>
      <c r="D67" s="47"/>
      <c r="E67" s="47"/>
      <c r="F67" s="47"/>
      <c r="G67" s="47"/>
      <c r="H67" s="116">
        <v>3953.6</v>
      </c>
      <c r="I67" s="116"/>
      <c r="J67" s="116"/>
      <c r="K67" s="118">
        <f t="shared" si="5"/>
        <v>3953.6</v>
      </c>
      <c r="L67" s="124">
        <v>4294</v>
      </c>
      <c r="M67" s="124">
        <v>4520</v>
      </c>
      <c r="N67" s="124">
        <v>5341</v>
      </c>
      <c r="O67" s="111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2" t="s">
        <v>124</v>
      </c>
      <c r="B68" s="2"/>
      <c r="C68" s="2"/>
      <c r="D68" s="2"/>
      <c r="E68" s="2"/>
      <c r="F68" s="2"/>
      <c r="G68" s="2"/>
      <c r="H68" s="125">
        <f t="shared" ref="H68" si="8">H62</f>
        <v>197</v>
      </c>
      <c r="I68" s="125"/>
      <c r="J68" s="125"/>
      <c r="K68" s="118">
        <f t="shared" si="5"/>
        <v>197</v>
      </c>
      <c r="L68" s="120"/>
      <c r="M68" s="120"/>
      <c r="N68" s="120"/>
      <c r="O68" s="10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125</v>
      </c>
      <c r="B69" s="2"/>
      <c r="C69" s="2"/>
      <c r="D69" s="2"/>
      <c r="E69" s="2"/>
      <c r="F69" s="2"/>
      <c r="G69" s="2"/>
      <c r="H69" s="121">
        <f>1091+894</f>
        <v>1985</v>
      </c>
      <c r="I69" s="121"/>
      <c r="J69" s="121"/>
      <c r="K69" s="118">
        <f t="shared" si="5"/>
        <v>1985</v>
      </c>
      <c r="L69" s="120"/>
      <c r="M69" s="120"/>
      <c r="N69" s="120"/>
      <c r="O69" s="10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126</v>
      </c>
      <c r="B70" s="2"/>
      <c r="C70" s="2"/>
      <c r="D70" s="2"/>
      <c r="E70" s="2"/>
      <c r="F70" s="2"/>
      <c r="G70" s="2"/>
      <c r="H70" s="125">
        <v>256.8</v>
      </c>
      <c r="I70" s="125"/>
      <c r="J70" s="125"/>
      <c r="K70" s="118">
        <f t="shared" si="5"/>
        <v>256.8</v>
      </c>
      <c r="L70" s="120"/>
      <c r="M70" s="120"/>
      <c r="N70" s="120"/>
      <c r="O70" s="10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127</v>
      </c>
      <c r="B71" s="2"/>
      <c r="C71" s="2"/>
      <c r="D71" s="2"/>
      <c r="E71" s="2"/>
      <c r="F71" s="2"/>
      <c r="G71" s="2"/>
      <c r="H71" s="121">
        <v>-1347.8</v>
      </c>
      <c r="I71" s="121"/>
      <c r="J71" s="121"/>
      <c r="K71" s="118">
        <f t="shared" si="5"/>
        <v>-1347.8</v>
      </c>
      <c r="L71" s="120"/>
      <c r="M71" s="120"/>
      <c r="N71" s="120"/>
      <c r="O71" s="10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87" customFormat="1" ht="15.75" customHeight="1">
      <c r="A72" s="47" t="s">
        <v>128</v>
      </c>
      <c r="B72" s="47"/>
      <c r="C72" s="47"/>
      <c r="D72" s="47"/>
      <c r="E72" s="47"/>
      <c r="F72" s="47"/>
      <c r="G72" s="47"/>
      <c r="H72" s="118">
        <f t="shared" ref="H72" si="9">SUM(H67:H71)</f>
        <v>5044.6000000000004</v>
      </c>
      <c r="I72" s="118"/>
      <c r="J72" s="118"/>
      <c r="K72" s="118">
        <f t="shared" si="5"/>
        <v>5044.6000000000004</v>
      </c>
      <c r="L72" s="124">
        <f>L67</f>
        <v>4294</v>
      </c>
      <c r="M72" s="124">
        <f t="shared" ref="M72:N72" si="10">M67</f>
        <v>4520</v>
      </c>
      <c r="N72" s="124">
        <f t="shared" si="10"/>
        <v>5341</v>
      </c>
      <c r="O72" s="111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2" t="s">
        <v>129</v>
      </c>
      <c r="B73" s="2"/>
      <c r="C73" s="2"/>
      <c r="D73" s="2"/>
      <c r="E73" s="2"/>
      <c r="F73" s="2"/>
      <c r="G73" s="2"/>
      <c r="H73" s="121"/>
      <c r="I73" s="121"/>
      <c r="J73" s="121"/>
      <c r="K73" s="118">
        <f t="shared" si="5"/>
        <v>0</v>
      </c>
      <c r="L73" s="120"/>
      <c r="M73" s="120"/>
      <c r="N73" s="120"/>
      <c r="O73" s="10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87" customFormat="1" ht="15.75" customHeight="1">
      <c r="A74" s="47" t="s">
        <v>130</v>
      </c>
      <c r="B74" s="47"/>
      <c r="C74" s="47"/>
      <c r="D74" s="47"/>
      <c r="E74" s="47"/>
      <c r="F74" s="47"/>
      <c r="G74" s="47"/>
      <c r="H74" s="118">
        <f t="shared" ref="H74" si="11">H72+H73</f>
        <v>5044.6000000000004</v>
      </c>
      <c r="I74" s="118"/>
      <c r="J74" s="118"/>
      <c r="K74" s="118">
        <f t="shared" si="5"/>
        <v>5044.6000000000004</v>
      </c>
      <c r="L74" s="116">
        <f>L72</f>
        <v>4294</v>
      </c>
      <c r="M74" s="116">
        <f t="shared" ref="M74:N74" si="12">M72</f>
        <v>4520</v>
      </c>
      <c r="N74" s="116">
        <f t="shared" si="12"/>
        <v>5341</v>
      </c>
      <c r="O74" s="105"/>
      <c r="P74" s="104">
        <f>(N74/H74)^(1/3)-1</f>
        <v>1.9213765955240936E-2</v>
      </c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2"/>
      <c r="B75" s="2"/>
      <c r="C75" s="2"/>
      <c r="D75" s="2"/>
      <c r="E75" s="2"/>
      <c r="F75" s="2"/>
      <c r="G75" s="2"/>
      <c r="H75" s="119"/>
      <c r="I75" s="119"/>
      <c r="J75" s="119"/>
      <c r="K75" s="119"/>
      <c r="L75" s="120"/>
      <c r="M75" s="120"/>
      <c r="N75" s="120"/>
      <c r="O75" s="10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 t="s">
        <v>131</v>
      </c>
      <c r="B76" s="2"/>
      <c r="C76" s="2"/>
      <c r="D76" s="2"/>
      <c r="E76" s="2"/>
      <c r="F76" s="2"/>
      <c r="G76" s="2"/>
      <c r="H76" s="121">
        <f>D17</f>
        <v>116.07716275619387</v>
      </c>
      <c r="I76" s="121"/>
      <c r="J76" s="121"/>
      <c r="K76" s="119"/>
      <c r="L76" s="120"/>
      <c r="M76" s="120"/>
      <c r="N76" s="120"/>
      <c r="O76" s="10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87" customFormat="1" ht="15.75" customHeight="1">
      <c r="A77" s="47" t="s">
        <v>132</v>
      </c>
      <c r="B77" s="47"/>
      <c r="C77" s="47"/>
      <c r="D77" s="47"/>
      <c r="E77" s="47"/>
      <c r="F77" s="47"/>
      <c r="G77" s="47"/>
      <c r="H77" s="126">
        <f>H74/$H$76</f>
        <v>43.459022259146501</v>
      </c>
      <c r="I77" s="126"/>
      <c r="J77" s="126"/>
      <c r="K77" s="126">
        <f>K74/$H$76</f>
        <v>43.459022259146501</v>
      </c>
      <c r="L77" s="126">
        <f>L74/$H$76</f>
        <v>36.992634020690453</v>
      </c>
      <c r="M77" s="126">
        <f>M74/$H$76</f>
        <v>38.939614758621531</v>
      </c>
      <c r="N77" s="126">
        <f>N74/$H$76</f>
        <v>46.012496111902117</v>
      </c>
      <c r="O77" s="105"/>
      <c r="P77" s="104">
        <f>(N77/H77)^(1/3)-1</f>
        <v>1.9213765955240936E-2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2"/>
      <c r="B78" s="2"/>
      <c r="C78" s="2"/>
      <c r="D78" s="2"/>
      <c r="E78" s="2"/>
      <c r="F78" s="2"/>
      <c r="G78" s="2"/>
      <c r="H78" s="13"/>
      <c r="I78" s="13"/>
      <c r="J78" s="13"/>
      <c r="K78" s="13"/>
      <c r="L78" s="37" t="s">
        <v>169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L56:N56"/>
    <mergeCell ref="G13:I13"/>
    <mergeCell ref="G31:I31"/>
    <mergeCell ref="E48:E49"/>
    <mergeCell ref="G48:G49"/>
    <mergeCell ref="M48:M49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showGridLines="0" topLeftCell="A69" zoomScale="74" workbookViewId="0">
      <selection activeCell="L79" sqref="L79"/>
    </sheetView>
  </sheetViews>
  <sheetFormatPr defaultColWidth="14.453125" defaultRowHeight="15" customHeight="1"/>
  <cols>
    <col min="1" max="1" width="3.453125" style="48" customWidth="1"/>
    <col min="2" max="2" width="33.54296875" style="48" customWidth="1"/>
    <col min="3" max="3" width="11.453125" style="48" customWidth="1"/>
    <col min="4" max="4" width="10.54296875" style="48" customWidth="1"/>
    <col min="5" max="5" width="12.7265625" style="48" customWidth="1"/>
    <col min="6" max="6" width="11.453125" style="48" customWidth="1"/>
    <col min="7" max="7" width="13.453125" style="48" customWidth="1"/>
    <col min="8" max="8" width="14" style="48" customWidth="1"/>
    <col min="9" max="9" width="13" style="48" customWidth="1"/>
    <col min="10" max="10" width="9.54296875" style="48" customWidth="1"/>
    <col min="11" max="11" width="12" style="48" customWidth="1"/>
    <col min="12" max="12" width="10.453125" style="48" customWidth="1"/>
    <col min="13" max="13" width="11.54296875" style="48" customWidth="1"/>
    <col min="14" max="26" width="11.453125" style="48" customWidth="1"/>
    <col min="27" max="16384" width="14.453125" style="48"/>
  </cols>
  <sheetData>
    <row r="1" spans="1:26" ht="20.5" customHeight="1">
      <c r="A1" s="64" t="s">
        <v>161</v>
      </c>
      <c r="B1" s="65"/>
      <c r="C1" s="65"/>
      <c r="D1" s="65"/>
      <c r="E1" s="65"/>
      <c r="F1" s="6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66" t="s">
        <v>139</v>
      </c>
      <c r="B2" s="65"/>
      <c r="C2" s="65"/>
      <c r="D2" s="65"/>
      <c r="E2" s="65"/>
      <c r="F2" s="6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9" t="s">
        <v>71</v>
      </c>
      <c r="B4" s="90"/>
      <c r="C4" s="90"/>
      <c r="D4" s="90"/>
      <c r="E4" s="90"/>
      <c r="F4" s="9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" t="s">
        <v>72</v>
      </c>
      <c r="B5" s="2"/>
      <c r="C5" s="2"/>
      <c r="D5" s="152"/>
      <c r="E5" s="92" t="s">
        <v>154</v>
      </c>
      <c r="F5" s="15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73</v>
      </c>
      <c r="B6" s="2"/>
      <c r="C6" s="2"/>
      <c r="D6" s="143"/>
      <c r="E6" s="93">
        <v>45406</v>
      </c>
      <c r="F6" s="14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74</v>
      </c>
      <c r="B7" s="2"/>
      <c r="C7" s="2"/>
      <c r="D7" s="143"/>
      <c r="E7" s="93" t="s">
        <v>160</v>
      </c>
      <c r="F7" s="14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75</v>
      </c>
      <c r="B8" s="2"/>
      <c r="C8" s="2"/>
      <c r="D8" s="143"/>
      <c r="E8" s="93">
        <v>45292</v>
      </c>
      <c r="F8" s="14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" t="s">
        <v>76</v>
      </c>
      <c r="B9" s="2"/>
      <c r="C9" s="2"/>
      <c r="D9" s="143"/>
      <c r="E9" s="93">
        <v>45292</v>
      </c>
      <c r="F9" s="14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 t="s">
        <v>59</v>
      </c>
      <c r="B10" s="2"/>
      <c r="C10" s="2"/>
      <c r="D10" s="143"/>
      <c r="E10" s="93" t="s">
        <v>43</v>
      </c>
      <c r="F10" s="14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4" t="s">
        <v>77</v>
      </c>
      <c r="B11" s="5"/>
      <c r="C11" s="5"/>
      <c r="D11" s="154"/>
      <c r="E11" s="106">
        <v>0.21</v>
      </c>
      <c r="F11" s="1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65"/>
      <c r="H13" s="260"/>
      <c r="I13" s="26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9" t="s">
        <v>78</v>
      </c>
      <c r="B14" s="19"/>
      <c r="C14" s="50" t="s">
        <v>79</v>
      </c>
      <c r="D14" s="50" t="s">
        <v>80</v>
      </c>
      <c r="E14" s="50" t="s">
        <v>81</v>
      </c>
      <c r="F14" s="20"/>
      <c r="G14" s="2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" t="s">
        <v>82</v>
      </c>
      <c r="B15" s="2"/>
      <c r="C15" s="8">
        <v>148.53</v>
      </c>
      <c r="D15" s="8"/>
      <c r="E15" s="8"/>
      <c r="F15" s="9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" t="s">
        <v>83</v>
      </c>
      <c r="B16" s="2"/>
      <c r="C16" s="8">
        <v>2435</v>
      </c>
      <c r="D16" s="8"/>
      <c r="E16" s="8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84</v>
      </c>
      <c r="B17" s="2"/>
      <c r="C17" s="12">
        <f>C16+H45+G53</f>
        <v>2454.4744485289166</v>
      </c>
      <c r="D17" s="12"/>
      <c r="E17" s="12"/>
      <c r="F17" s="11"/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64</v>
      </c>
      <c r="B18" s="2"/>
      <c r="C18" s="12">
        <f t="shared" ref="C18:E18" si="0">C17*C15</f>
        <v>364563.08983999997</v>
      </c>
      <c r="D18" s="12">
        <f t="shared" si="0"/>
        <v>0</v>
      </c>
      <c r="E18" s="12">
        <f t="shared" si="0"/>
        <v>0</v>
      </c>
      <c r="F18" s="14">
        <f>C18+D18+E18</f>
        <v>364563.08983999997</v>
      </c>
      <c r="G18" s="2"/>
      <c r="H18" s="2"/>
      <c r="I18" s="1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" t="s">
        <v>3</v>
      </c>
      <c r="B19" s="2"/>
      <c r="C19" s="2"/>
      <c r="D19" s="13"/>
      <c r="E19" s="13"/>
      <c r="F19" s="15"/>
      <c r="G19" s="2"/>
      <c r="H19" s="13"/>
      <c r="I19" s="1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6" t="s">
        <v>85</v>
      </c>
      <c r="B20" s="2"/>
      <c r="C20" s="2"/>
      <c r="D20" s="13"/>
      <c r="E20" s="13"/>
      <c r="F20" s="14">
        <f>E21</f>
        <v>0</v>
      </c>
      <c r="G20" s="2"/>
      <c r="H20" s="13"/>
      <c r="I20" s="1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/>
      <c r="B21" s="2" t="s">
        <v>86</v>
      </c>
      <c r="C21" s="2"/>
      <c r="D21" s="2"/>
      <c r="E21" s="51">
        <v>0</v>
      </c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/>
      <c r="B22" s="37" t="s">
        <v>87</v>
      </c>
      <c r="C22" s="2"/>
      <c r="D22" s="2"/>
      <c r="E22" s="52">
        <v>0</v>
      </c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 t="s">
        <v>88</v>
      </c>
      <c r="B23" s="2"/>
      <c r="C23" s="2"/>
      <c r="D23" s="2"/>
      <c r="E23" s="13"/>
      <c r="F23" s="14">
        <v>25881</v>
      </c>
      <c r="G23" s="2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3"/>
      <c r="B24" s="37" t="s">
        <v>89</v>
      </c>
      <c r="C24" s="37"/>
      <c r="D24" s="2"/>
      <c r="E24" s="51"/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3"/>
      <c r="B25" s="37" t="s">
        <v>90</v>
      </c>
      <c r="C25" s="37"/>
      <c r="D25" s="2"/>
      <c r="E25" s="52">
        <v>0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 t="s">
        <v>91</v>
      </c>
      <c r="B26" s="2"/>
      <c r="C26" s="2"/>
      <c r="D26" s="2"/>
      <c r="E26" s="13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3"/>
      <c r="B27" s="2" t="s">
        <v>92</v>
      </c>
      <c r="C27" s="2"/>
      <c r="D27" s="2"/>
      <c r="E27" s="13"/>
      <c r="F27" s="15">
        <f>1863-4022</f>
        <v>-2159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/>
      <c r="B28" s="2" t="s">
        <v>93</v>
      </c>
      <c r="C28" s="2"/>
      <c r="D28" s="2"/>
      <c r="E28" s="2"/>
      <c r="F28" s="15">
        <v>0</v>
      </c>
      <c r="G28" s="2"/>
      <c r="H28" s="13"/>
      <c r="I28" s="1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 t="s">
        <v>94</v>
      </c>
      <c r="B29" s="2"/>
      <c r="C29" s="2"/>
      <c r="D29" s="2"/>
      <c r="E29" s="13"/>
      <c r="F29" s="15">
        <v>21859</v>
      </c>
      <c r="G29" s="2"/>
      <c r="H29" s="13"/>
      <c r="I29" s="1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3" t="s">
        <v>95</v>
      </c>
      <c r="B30" s="54"/>
      <c r="C30" s="54"/>
      <c r="D30" s="55"/>
      <c r="E30" s="55"/>
      <c r="F30" s="56">
        <f>F18+F19+F20+F23+F27+F28-F29</f>
        <v>366426.08983999997</v>
      </c>
      <c r="G30" s="2"/>
      <c r="H30" s="2"/>
      <c r="I30" s="1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96</v>
      </c>
      <c r="B31" s="47"/>
      <c r="C31" s="47"/>
      <c r="D31" s="57"/>
      <c r="E31" s="57"/>
      <c r="F31" s="110">
        <v>6358</v>
      </c>
      <c r="G31" s="2"/>
      <c r="H31" s="13"/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97</v>
      </c>
      <c r="B32" s="47"/>
      <c r="C32" s="47"/>
      <c r="D32" s="57"/>
      <c r="E32" s="57"/>
      <c r="F32" s="14">
        <f>F30-F31</f>
        <v>360068.08983999997</v>
      </c>
      <c r="G32" s="2"/>
      <c r="H32" s="2"/>
      <c r="I32" s="1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4" t="s">
        <v>98</v>
      </c>
      <c r="B33" s="5"/>
      <c r="C33" s="5"/>
      <c r="D33" s="5"/>
      <c r="E33" s="5"/>
      <c r="F33" s="63">
        <f>F18/SUM(C17:E17)</f>
        <v>148.53</v>
      </c>
      <c r="G33" s="2"/>
      <c r="H33" s="2"/>
      <c r="I33" s="2"/>
      <c r="J33" s="5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18"/>
      <c r="I34" s="18"/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17" t="s">
        <v>99</v>
      </c>
      <c r="B35" s="217"/>
      <c r="C35" s="217"/>
      <c r="D35" s="217"/>
      <c r="E35" s="217"/>
      <c r="F35" s="217"/>
      <c r="G35" s="217"/>
      <c r="H35" s="2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2"/>
      <c r="C36" s="2"/>
      <c r="D36" s="2"/>
      <c r="E36" s="2"/>
      <c r="F36" s="2"/>
      <c r="G36" s="2"/>
      <c r="H36" s="18"/>
      <c r="I36" s="18"/>
      <c r="J36" s="18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9" t="s">
        <v>133</v>
      </c>
      <c r="C37" s="19"/>
      <c r="D37" s="19"/>
      <c r="E37" s="19"/>
      <c r="F37" s="19"/>
      <c r="G37" s="19"/>
      <c r="H37" s="20"/>
      <c r="I37" s="1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1"/>
      <c r="C38" s="22" t="s">
        <v>26</v>
      </c>
      <c r="D38" s="2"/>
      <c r="E38" s="23" t="s">
        <v>27</v>
      </c>
      <c r="F38" s="23"/>
      <c r="G38" s="23"/>
      <c r="H38" s="24" t="s">
        <v>28</v>
      </c>
      <c r="I38" s="18"/>
      <c r="J38" s="22"/>
      <c r="K38" s="22"/>
      <c r="L38" s="6"/>
      <c r="M38" s="6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5" t="s">
        <v>101</v>
      </c>
      <c r="C39" s="26" t="s">
        <v>29</v>
      </c>
      <c r="D39" s="26" t="s">
        <v>30</v>
      </c>
      <c r="E39" s="26" t="s">
        <v>31</v>
      </c>
      <c r="F39" s="26" t="s">
        <v>32</v>
      </c>
      <c r="G39" s="5" t="s">
        <v>33</v>
      </c>
      <c r="H39" s="27" t="s">
        <v>34</v>
      </c>
      <c r="I39" s="18"/>
      <c r="J39" s="28"/>
      <c r="K39" s="22"/>
      <c r="L39" s="22"/>
      <c r="M39" s="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9">
        <f>112238/1000</f>
        <v>112.238</v>
      </c>
      <c r="C40" s="30">
        <v>139.88</v>
      </c>
      <c r="D40" s="31" t="str">
        <f t="shared" ref="D40:D41" si="1">IF(C40&lt;$C$15,"Yes","N0")</f>
        <v>Yes</v>
      </c>
      <c r="E40" s="32">
        <f t="shared" ref="E40:E41" si="2">IF(D40="Yes",B40,0)</f>
        <v>112.238</v>
      </c>
      <c r="F40" s="12">
        <f>E40*C40</f>
        <v>15699.851439999999</v>
      </c>
      <c r="G40" s="32">
        <f>F40/$C$15</f>
        <v>105.70155147108328</v>
      </c>
      <c r="H40" s="33">
        <f t="shared" ref="H40:H41" si="3">E40-G40</f>
        <v>6.536448528916722</v>
      </c>
      <c r="I40" s="18"/>
      <c r="J40" s="34"/>
      <c r="K40" s="34"/>
      <c r="L40" s="13"/>
      <c r="M40" s="34"/>
      <c r="N40" s="3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9">
        <f>12938/1000</f>
        <v>12.938000000000001</v>
      </c>
      <c r="C41" s="30">
        <v>0</v>
      </c>
      <c r="D41" s="31" t="str">
        <f t="shared" si="1"/>
        <v>Yes</v>
      </c>
      <c r="E41" s="32">
        <f t="shared" si="2"/>
        <v>12.938000000000001</v>
      </c>
      <c r="F41" s="12">
        <f t="shared" ref="F41" si="4">E41*C41</f>
        <v>0</v>
      </c>
      <c r="G41" s="32">
        <f t="shared" ref="G41" si="5">F41/$C$15</f>
        <v>0</v>
      </c>
      <c r="H41" s="33">
        <f t="shared" si="3"/>
        <v>12.938000000000001</v>
      </c>
      <c r="I41" s="18"/>
      <c r="J41" s="34"/>
      <c r="K41" s="34"/>
      <c r="L41" s="13"/>
      <c r="M41" s="34"/>
      <c r="N41" s="3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9"/>
      <c r="C42" s="30"/>
      <c r="D42" s="31"/>
      <c r="E42" s="32"/>
      <c r="F42" s="12"/>
      <c r="G42" s="32"/>
      <c r="H42" s="33"/>
      <c r="I42" s="18"/>
      <c r="J42" s="34"/>
      <c r="K42" s="34"/>
      <c r="L42" s="13"/>
      <c r="M42" s="34"/>
      <c r="N42" s="3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9"/>
      <c r="C43" s="30"/>
      <c r="D43" s="31"/>
      <c r="E43" s="32"/>
      <c r="F43" s="12"/>
      <c r="G43" s="32"/>
      <c r="H43" s="33"/>
      <c r="I43" s="18"/>
      <c r="J43" s="34"/>
      <c r="K43" s="34"/>
      <c r="L43" s="13"/>
      <c r="M43" s="34"/>
      <c r="N43" s="3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9"/>
      <c r="C44" s="30"/>
      <c r="D44" s="31"/>
      <c r="E44" s="32"/>
      <c r="F44" s="12"/>
      <c r="G44" s="32"/>
      <c r="H44" s="33"/>
      <c r="I44" s="18"/>
      <c r="J44" s="34"/>
      <c r="K44" s="34"/>
      <c r="L44" s="13"/>
      <c r="M44" s="34"/>
      <c r="N44" s="3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5"/>
      <c r="D45" s="5"/>
      <c r="E45" s="5"/>
      <c r="F45" s="5"/>
      <c r="G45" s="5"/>
      <c r="H45" s="35">
        <f>SUM(H40:H44)</f>
        <v>19.474448528916724</v>
      </c>
      <c r="I45" s="18"/>
      <c r="J45" s="2"/>
      <c r="K45" s="2"/>
      <c r="L45" s="2"/>
      <c r="M45" s="2"/>
      <c r="N45" s="3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18"/>
      <c r="I46" s="18"/>
      <c r="J46" s="18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9" t="s">
        <v>102</v>
      </c>
      <c r="C47" s="19"/>
      <c r="D47" s="19"/>
      <c r="E47" s="19"/>
      <c r="F47" s="19"/>
      <c r="G47" s="20"/>
      <c r="H47" s="18"/>
      <c r="I47" s="18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59"/>
      <c r="C48" s="60"/>
      <c r="D48" s="60"/>
      <c r="E48" s="266" t="s">
        <v>103</v>
      </c>
      <c r="F48" s="36"/>
      <c r="G48" s="267" t="s">
        <v>104</v>
      </c>
      <c r="H48" s="18"/>
      <c r="I48" s="18"/>
      <c r="J48" s="37"/>
      <c r="K48" s="37"/>
      <c r="L48" s="2"/>
      <c r="M48" s="25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1" t="s">
        <v>105</v>
      </c>
      <c r="C49" s="62" t="s">
        <v>106</v>
      </c>
      <c r="D49" s="62" t="s">
        <v>107</v>
      </c>
      <c r="E49" s="260"/>
      <c r="F49" s="37" t="s">
        <v>108</v>
      </c>
      <c r="G49" s="268"/>
      <c r="H49" s="18"/>
      <c r="I49" s="18"/>
      <c r="J49" s="37"/>
      <c r="K49" s="62"/>
      <c r="L49" s="37"/>
      <c r="M49" s="26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3"/>
      <c r="C50" s="8"/>
      <c r="D50" s="8"/>
      <c r="E50" s="38"/>
      <c r="F50" s="39"/>
      <c r="G50" s="40"/>
      <c r="H50" s="18"/>
      <c r="I50" s="18"/>
      <c r="J50" s="2"/>
      <c r="K50" s="13"/>
      <c r="L50" s="41"/>
      <c r="M50" s="4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3"/>
      <c r="C51" s="8"/>
      <c r="D51" s="8"/>
      <c r="E51" s="38"/>
      <c r="F51" s="39"/>
      <c r="G51" s="40"/>
      <c r="H51" s="18"/>
      <c r="I51" s="18"/>
      <c r="J51" s="2"/>
      <c r="K51" s="13"/>
      <c r="L51" s="41"/>
      <c r="M51" s="4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3"/>
      <c r="C52" s="8"/>
      <c r="D52" s="8"/>
      <c r="E52" s="38"/>
      <c r="F52" s="42"/>
      <c r="G52" s="40"/>
      <c r="H52" s="18"/>
      <c r="I52" s="18"/>
      <c r="J52" s="2"/>
      <c r="K52" s="13"/>
      <c r="L52" s="41"/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3"/>
      <c r="D53" s="43"/>
      <c r="E53" s="43"/>
      <c r="F53" s="44"/>
      <c r="G53" s="45"/>
      <c r="H53" s="18"/>
      <c r="I53" s="18"/>
      <c r="J53" s="2"/>
      <c r="K53" s="13"/>
      <c r="L53" s="41"/>
      <c r="M53" s="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18"/>
      <c r="I54" s="1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18"/>
      <c r="I55" s="18"/>
      <c r="J55" s="18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18"/>
      <c r="I56" s="18"/>
      <c r="J56" s="18"/>
      <c r="K56" s="18"/>
      <c r="L56" s="270" t="s">
        <v>134</v>
      </c>
      <c r="M56" s="271"/>
      <c r="N56" s="24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109</v>
      </c>
      <c r="B57" s="1"/>
      <c r="C57" s="1"/>
      <c r="D57" s="1"/>
      <c r="E57" s="1"/>
      <c r="F57" s="1"/>
      <c r="G57" s="1"/>
      <c r="H57" s="113" t="s">
        <v>110</v>
      </c>
      <c r="I57" s="113" t="s">
        <v>111</v>
      </c>
      <c r="J57" s="113" t="s">
        <v>112</v>
      </c>
      <c r="K57" s="113" t="s">
        <v>35</v>
      </c>
      <c r="L57" s="113" t="s">
        <v>113</v>
      </c>
      <c r="M57" s="113" t="s">
        <v>114</v>
      </c>
      <c r="N57" s="113" t="s">
        <v>115</v>
      </c>
      <c r="O57" s="102"/>
      <c r="P57" s="112" t="s">
        <v>135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114" t="s">
        <v>116</v>
      </c>
      <c r="I58" s="114"/>
      <c r="J58" s="114"/>
      <c r="K58" s="114"/>
      <c r="L58" s="115">
        <v>45350</v>
      </c>
      <c r="M58" s="115">
        <f t="shared" ref="M58:N58" si="6">EDATE(L58,12)</f>
        <v>45716</v>
      </c>
      <c r="N58" s="115">
        <f t="shared" si="6"/>
        <v>46081</v>
      </c>
      <c r="O58" s="103"/>
      <c r="P58" s="47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87" customFormat="1" ht="15.75" customHeight="1">
      <c r="A59" s="47" t="s">
        <v>117</v>
      </c>
      <c r="B59" s="47"/>
      <c r="C59" s="47"/>
      <c r="D59" s="47"/>
      <c r="E59" s="47"/>
      <c r="F59" s="47"/>
      <c r="G59" s="47"/>
      <c r="H59" s="116">
        <v>85159</v>
      </c>
      <c r="I59" s="116"/>
      <c r="J59" s="117"/>
      <c r="K59" s="118">
        <f>H59</f>
        <v>85159</v>
      </c>
      <c r="L59" s="116">
        <v>88388</v>
      </c>
      <c r="M59" s="116">
        <v>90823</v>
      </c>
      <c r="N59" s="116">
        <v>93809</v>
      </c>
      <c r="O59" s="105"/>
      <c r="P59" s="104">
        <f>(N59/H59)^(1/3)-1</f>
        <v>3.277246634302422E-2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4.5" customHeight="1">
      <c r="A60" s="2"/>
      <c r="B60" s="2"/>
      <c r="C60" s="2"/>
      <c r="D60" s="2"/>
      <c r="E60" s="2"/>
      <c r="F60" s="2"/>
      <c r="G60" s="2"/>
      <c r="H60" s="119"/>
      <c r="I60" s="119"/>
      <c r="J60" s="119"/>
      <c r="K60" s="119"/>
      <c r="L60" s="120"/>
      <c r="M60" s="120"/>
      <c r="N60" s="120"/>
      <c r="O60" s="77"/>
      <c r="P60" s="47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 t="s">
        <v>118</v>
      </c>
      <c r="B61" s="2"/>
      <c r="C61" s="2"/>
      <c r="D61" s="2"/>
      <c r="E61" s="2"/>
      <c r="F61" s="2"/>
      <c r="G61" s="2"/>
      <c r="H61" s="121">
        <f>15062+772</f>
        <v>15834</v>
      </c>
      <c r="I61" s="121"/>
      <c r="J61" s="121"/>
      <c r="K61" s="118">
        <f>H61</f>
        <v>15834</v>
      </c>
      <c r="L61" s="122"/>
      <c r="M61" s="122"/>
      <c r="N61" s="122"/>
      <c r="O61" s="77"/>
      <c r="P61" s="47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 t="s">
        <v>119</v>
      </c>
      <c r="B62" s="47"/>
      <c r="C62" s="47"/>
      <c r="D62" s="47"/>
      <c r="E62" s="47"/>
      <c r="F62" s="47"/>
      <c r="G62" s="47"/>
      <c r="H62" s="123">
        <f>1742+4511</f>
        <v>6253</v>
      </c>
      <c r="I62" s="123"/>
      <c r="J62" s="123"/>
      <c r="K62" s="118">
        <f t="shared" ref="K62:K74" si="7">H62</f>
        <v>6253</v>
      </c>
      <c r="L62" s="124"/>
      <c r="M62" s="124"/>
      <c r="N62" s="124"/>
      <c r="O62" s="99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s="87" customFormat="1" ht="15.75" customHeight="1">
      <c r="A63" s="47" t="s">
        <v>120</v>
      </c>
      <c r="B63" s="47"/>
      <c r="C63" s="47"/>
      <c r="D63" s="47"/>
      <c r="E63" s="47"/>
      <c r="F63" s="47"/>
      <c r="G63" s="47"/>
      <c r="H63" s="118">
        <f>H61+H62</f>
        <v>22087</v>
      </c>
      <c r="I63" s="118"/>
      <c r="J63" s="118"/>
      <c r="K63" s="118">
        <f t="shared" si="7"/>
        <v>22087</v>
      </c>
      <c r="L63" s="124">
        <v>28989</v>
      </c>
      <c r="M63" s="124">
        <v>29949</v>
      </c>
      <c r="N63" s="124">
        <v>31195</v>
      </c>
      <c r="O63" s="101"/>
      <c r="P63" s="104">
        <f>(N63/H63)^(1/3)-1</f>
        <v>0.12197389664075664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" t="s">
        <v>121</v>
      </c>
      <c r="B64" s="2"/>
      <c r="C64" s="2"/>
      <c r="D64" s="2"/>
      <c r="E64" s="2"/>
      <c r="F64" s="2"/>
      <c r="G64" s="2"/>
      <c r="H64" s="123">
        <f>7486</f>
        <v>7486</v>
      </c>
      <c r="I64" s="121"/>
      <c r="J64" s="121"/>
      <c r="K64" s="118">
        <f t="shared" si="7"/>
        <v>7486</v>
      </c>
      <c r="L64" s="120"/>
      <c r="M64" s="120"/>
      <c r="N64" s="120"/>
      <c r="O64" s="77"/>
      <c r="P64" s="47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87" customFormat="1" ht="15.75" customHeight="1">
      <c r="A65" s="47" t="s">
        <v>122</v>
      </c>
      <c r="B65" s="47"/>
      <c r="C65" s="47"/>
      <c r="D65" s="47"/>
      <c r="E65" s="47"/>
      <c r="F65" s="47"/>
      <c r="G65" s="47"/>
      <c r="H65" s="118">
        <f>H63+H64</f>
        <v>29573</v>
      </c>
      <c r="I65" s="118"/>
      <c r="J65" s="118"/>
      <c r="K65" s="118">
        <f t="shared" si="7"/>
        <v>29573</v>
      </c>
      <c r="L65" s="116">
        <v>32174</v>
      </c>
      <c r="M65" s="116">
        <v>33093</v>
      </c>
      <c r="N65" s="116">
        <v>34797</v>
      </c>
      <c r="O65" s="101"/>
      <c r="P65" s="104">
        <f>(N65/H65)^(1/3)-1</f>
        <v>5.5720139862829088E-2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4" customHeight="1">
      <c r="A66" s="2"/>
      <c r="B66" s="2"/>
      <c r="C66" s="2"/>
      <c r="D66" s="2"/>
      <c r="E66" s="2"/>
      <c r="F66" s="2"/>
      <c r="G66" s="2"/>
      <c r="H66" s="119"/>
      <c r="I66" s="119"/>
      <c r="J66" s="119"/>
      <c r="K66" s="118"/>
      <c r="L66" s="120"/>
      <c r="M66" s="120"/>
      <c r="N66" s="120"/>
      <c r="O66" s="77"/>
      <c r="P66" s="47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87" customFormat="1" ht="15.75" customHeight="1">
      <c r="A67" s="47" t="s">
        <v>123</v>
      </c>
      <c r="B67" s="47"/>
      <c r="C67" s="47"/>
      <c r="D67" s="47"/>
      <c r="E67" s="47"/>
      <c r="F67" s="47"/>
      <c r="G67" s="47"/>
      <c r="H67" s="116">
        <f>35153</f>
        <v>35153</v>
      </c>
      <c r="I67" s="116"/>
      <c r="J67" s="116"/>
      <c r="K67" s="118">
        <f t="shared" si="7"/>
        <v>35153</v>
      </c>
      <c r="L67" s="124">
        <f>22312</f>
        <v>22312</v>
      </c>
      <c r="M67" s="124">
        <v>22998</v>
      </c>
      <c r="N67" s="124">
        <v>24286</v>
      </c>
      <c r="O67" s="99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2" t="s">
        <v>124</v>
      </c>
      <c r="B68" s="2"/>
      <c r="C68" s="2"/>
      <c r="D68" s="2"/>
      <c r="E68" s="2"/>
      <c r="F68" s="2"/>
      <c r="G68" s="2"/>
      <c r="H68" s="125">
        <f>H62</f>
        <v>6253</v>
      </c>
      <c r="I68" s="125"/>
      <c r="J68" s="125"/>
      <c r="K68" s="118">
        <f t="shared" si="7"/>
        <v>6253</v>
      </c>
      <c r="L68" s="120"/>
      <c r="M68" s="120"/>
      <c r="N68" s="120"/>
      <c r="O68" s="77"/>
      <c r="P68" s="47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 t="s">
        <v>125</v>
      </c>
      <c r="B69" s="2"/>
      <c r="C69" s="2"/>
      <c r="D69" s="2"/>
      <c r="E69" s="2"/>
      <c r="F69" s="2"/>
      <c r="G69" s="2"/>
      <c r="H69" s="123">
        <v>8496</v>
      </c>
      <c r="I69" s="123"/>
      <c r="J69" s="123"/>
      <c r="K69" s="118">
        <f t="shared" si="7"/>
        <v>8496</v>
      </c>
      <c r="L69" s="120"/>
      <c r="M69" s="120"/>
      <c r="N69" s="120"/>
      <c r="O69" s="77"/>
      <c r="P69" s="47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 t="s">
        <v>126</v>
      </c>
      <c r="B70" s="2"/>
      <c r="C70" s="2"/>
      <c r="D70" s="2"/>
      <c r="E70" s="2"/>
      <c r="F70" s="2"/>
      <c r="G70" s="2"/>
      <c r="H70" s="125">
        <v>-2666</v>
      </c>
      <c r="I70" s="125"/>
      <c r="J70" s="125"/>
      <c r="K70" s="118">
        <f t="shared" si="7"/>
        <v>-2666</v>
      </c>
      <c r="L70" s="120"/>
      <c r="M70" s="120"/>
      <c r="N70" s="120"/>
      <c r="O70" s="77"/>
      <c r="P70" s="47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 t="s">
        <v>127</v>
      </c>
      <c r="B71" s="2"/>
      <c r="C71" s="2"/>
      <c r="D71" s="2"/>
      <c r="E71" s="2"/>
      <c r="F71" s="2"/>
      <c r="G71" s="2"/>
      <c r="H71" s="121">
        <v>-1736</v>
      </c>
      <c r="I71" s="121"/>
      <c r="J71" s="121"/>
      <c r="K71" s="118">
        <f t="shared" si="7"/>
        <v>-1736</v>
      </c>
      <c r="L71" s="120"/>
      <c r="M71" s="120"/>
      <c r="N71" s="120"/>
      <c r="O71" s="77"/>
      <c r="P71" s="47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87" customFormat="1" ht="15.75" customHeight="1">
      <c r="A72" s="47" t="s">
        <v>128</v>
      </c>
      <c r="B72" s="47"/>
      <c r="C72" s="47"/>
      <c r="D72" s="47"/>
      <c r="E72" s="47"/>
      <c r="F72" s="47"/>
      <c r="G72" s="47"/>
      <c r="H72" s="118">
        <f t="shared" ref="H72" si="8">SUM(H67:H71)</f>
        <v>45500</v>
      </c>
      <c r="I72" s="118"/>
      <c r="J72" s="118"/>
      <c r="K72" s="118">
        <f t="shared" si="7"/>
        <v>45500</v>
      </c>
      <c r="L72" s="124">
        <f>L67</f>
        <v>22312</v>
      </c>
      <c r="M72" s="124">
        <f t="shared" ref="M72:N72" si="9">M67</f>
        <v>22998</v>
      </c>
      <c r="N72" s="124">
        <f t="shared" si="9"/>
        <v>24286</v>
      </c>
      <c r="O72" s="99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2" t="s">
        <v>129</v>
      </c>
      <c r="B73" s="2"/>
      <c r="C73" s="2"/>
      <c r="D73" s="2"/>
      <c r="E73" s="2"/>
      <c r="F73" s="2"/>
      <c r="G73" s="2"/>
      <c r="H73" s="121">
        <f>239/1000</f>
        <v>0.23899999999999999</v>
      </c>
      <c r="I73" s="121"/>
      <c r="J73" s="121"/>
      <c r="K73" s="118">
        <f t="shared" si="7"/>
        <v>0.23899999999999999</v>
      </c>
      <c r="L73" s="120"/>
      <c r="M73" s="120"/>
      <c r="N73" s="120"/>
      <c r="O73" s="77"/>
      <c r="P73" s="47"/>
      <c r="Q73" s="47"/>
      <c r="R73" s="2"/>
      <c r="S73" s="2"/>
      <c r="T73" s="2"/>
      <c r="U73" s="2"/>
      <c r="V73" s="2"/>
      <c r="W73" s="2"/>
      <c r="X73" s="2"/>
      <c r="Y73" s="2"/>
      <c r="Z73" s="2"/>
    </row>
    <row r="74" spans="1:26" s="87" customFormat="1" ht="15.75" customHeight="1">
      <c r="A74" s="47" t="s">
        <v>130</v>
      </c>
      <c r="B74" s="47"/>
      <c r="C74" s="47"/>
      <c r="D74" s="47"/>
      <c r="E74" s="47"/>
      <c r="F74" s="47"/>
      <c r="G74" s="47"/>
      <c r="H74" s="118">
        <f>H72-H73</f>
        <v>45499.760999999999</v>
      </c>
      <c r="I74" s="118"/>
      <c r="J74" s="118"/>
      <c r="K74" s="118">
        <f t="shared" si="7"/>
        <v>45499.760999999999</v>
      </c>
      <c r="L74" s="116">
        <f>L72</f>
        <v>22312</v>
      </c>
      <c r="M74" s="116">
        <f t="shared" ref="M74:N74" si="10">M72</f>
        <v>22998</v>
      </c>
      <c r="N74" s="116">
        <f t="shared" si="10"/>
        <v>24286</v>
      </c>
      <c r="O74" s="101"/>
      <c r="P74" s="104">
        <f>(N74/H74)^(1/3)-1</f>
        <v>-0.18882300588133338</v>
      </c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2"/>
      <c r="B75" s="2"/>
      <c r="C75" s="2"/>
      <c r="D75" s="2"/>
      <c r="E75" s="2"/>
      <c r="F75" s="2"/>
      <c r="G75" s="2"/>
      <c r="H75" s="119"/>
      <c r="I75" s="119"/>
      <c r="J75" s="119"/>
      <c r="K75" s="119"/>
      <c r="L75" s="120"/>
      <c r="M75" s="120"/>
      <c r="N75" s="120"/>
      <c r="O75" s="77"/>
      <c r="P75" s="47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 t="s">
        <v>131</v>
      </c>
      <c r="B76" s="2"/>
      <c r="C76" s="2"/>
      <c r="D76" s="2"/>
      <c r="E76" s="2"/>
      <c r="F76" s="2"/>
      <c r="G76" s="2"/>
      <c r="H76" s="121">
        <f>C17</f>
        <v>2454.4744485289166</v>
      </c>
      <c r="I76" s="121"/>
      <c r="J76" s="121"/>
      <c r="K76" s="119"/>
      <c r="L76" s="120"/>
      <c r="M76" s="120"/>
      <c r="N76" s="120"/>
      <c r="O76" s="77"/>
      <c r="P76" s="47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87" customFormat="1" ht="15.75" customHeight="1">
      <c r="A77" s="47" t="s">
        <v>132</v>
      </c>
      <c r="B77" s="47"/>
      <c r="C77" s="47"/>
      <c r="D77" s="47"/>
      <c r="E77" s="47"/>
      <c r="F77" s="47"/>
      <c r="G77" s="47"/>
      <c r="H77" s="126">
        <f>H74/$H$76</f>
        <v>18.537475925760877</v>
      </c>
      <c r="I77" s="126"/>
      <c r="J77" s="126"/>
      <c r="K77" s="126">
        <f>K74/$H$76</f>
        <v>18.537475925760877</v>
      </c>
      <c r="L77" s="126">
        <f>L74/$H$76</f>
        <v>9.0903370427720862</v>
      </c>
      <c r="M77" s="126">
        <f>M74/$H$76</f>
        <v>9.3698266094331508</v>
      </c>
      <c r="N77" s="126">
        <f>N74/$H$76</f>
        <v>9.894582530511066</v>
      </c>
      <c r="O77" s="99"/>
      <c r="P77" s="104">
        <f>(N77/H77)^(1/3)-1</f>
        <v>-0.18882300588133327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2"/>
      <c r="B78" s="2"/>
      <c r="C78" s="2"/>
      <c r="D78" s="2"/>
      <c r="E78" s="2"/>
      <c r="F78" s="2"/>
      <c r="G78" s="2"/>
      <c r="H78" s="13"/>
      <c r="I78" s="13"/>
      <c r="J78" s="13"/>
      <c r="K78" s="13"/>
      <c r="L78" s="37" t="s">
        <v>168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7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G13:I13"/>
    <mergeCell ref="E48:E49"/>
    <mergeCell ref="G48:G49"/>
    <mergeCell ref="M48:M49"/>
    <mergeCell ref="L56:N5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Valuation </vt:lpstr>
      <vt:lpstr>Output</vt:lpstr>
      <vt:lpstr>AMGEN</vt:lpstr>
      <vt:lpstr>AbbVie</vt:lpstr>
      <vt:lpstr>BMY</vt:lpstr>
      <vt:lpstr>Pfizer</vt:lpstr>
      <vt:lpstr>Regeneron</vt:lpstr>
      <vt:lpstr>J&amp;J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Pankajj Goel</dc:creator>
  <cp:lastModifiedBy>abhi suresh</cp:lastModifiedBy>
  <dcterms:created xsi:type="dcterms:W3CDTF">2023-09-18T16:13:25Z</dcterms:created>
  <dcterms:modified xsi:type="dcterms:W3CDTF">2024-05-22T19:22:00Z</dcterms:modified>
</cp:coreProperties>
</file>