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ables/table1.xml" ContentType="application/vnd.openxmlformats-officedocument.spreadsheetml.table+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bhishek M\Desktop\Amgen\AMGEN\"/>
    </mc:Choice>
  </mc:AlternateContent>
  <xr:revisionPtr revIDLastSave="0" documentId="8_{D0293CB5-490A-416B-BD40-65CFBCFFFBE0}" xr6:coauthVersionLast="47" xr6:coauthVersionMax="47" xr10:uidLastSave="{00000000-0000-0000-0000-000000000000}"/>
  <bookViews>
    <workbookView xWindow="-110" yWindow="-110" windowWidth="19420" windowHeight="10300" activeTab="8" xr2:uid="{C6187B09-F117-4AB7-8138-25795E3087E2}"/>
  </bookViews>
  <sheets>
    <sheet name="Revenue Segements" sheetId="3" r:id="rId1"/>
    <sheet name="IS" sheetId="4" r:id="rId2"/>
    <sheet name="CFS" sheetId="8" r:id="rId3"/>
    <sheet name="BS" sheetId="5" r:id="rId4"/>
    <sheet name="Debt Schedule" sheetId="7" r:id="rId5"/>
    <sheet name="FA Schedule" sheetId="6" r:id="rId6"/>
    <sheet name="Beta" sheetId="10" r:id="rId7"/>
    <sheet name="WACC" sheetId="13" r:id="rId8"/>
    <sheet name="DCF" sheetId="11" r:id="rId9"/>
  </sheets>
  <externalReferences>
    <externalReference r:id="rId10"/>
  </externalReferences>
  <calcPr calcId="191029" iterate="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L76" i="3" l="1"/>
  <c r="BL31" i="3"/>
  <c r="BL13" i="3"/>
  <c r="BL7" i="3"/>
  <c r="R90" i="4"/>
  <c r="M92" i="4"/>
  <c r="O138" i="4"/>
  <c r="N138" i="4"/>
  <c r="M138" i="4"/>
  <c r="L138" i="4"/>
  <c r="L92" i="4"/>
  <c r="J96" i="4"/>
  <c r="O90" i="4"/>
  <c r="N90" i="4"/>
  <c r="M90" i="4"/>
  <c r="J90" i="4"/>
  <c r="I90" i="4"/>
  <c r="H90" i="4"/>
  <c r="G90" i="4"/>
  <c r="F90" i="4"/>
  <c r="J89" i="4"/>
  <c r="I89" i="4"/>
  <c r="H89" i="4"/>
  <c r="G89" i="4"/>
  <c r="F89" i="4"/>
  <c r="M89" i="4"/>
  <c r="N89" i="4"/>
  <c r="O89" i="4"/>
  <c r="L90" i="4"/>
  <c r="L89" i="4"/>
  <c r="K85" i="4"/>
  <c r="F41" i="11"/>
  <c r="G35" i="6"/>
  <c r="F56" i="11" l="1"/>
  <c r="L57" i="11" l="1"/>
  <c r="L58" i="11" s="1"/>
  <c r="L59" i="11" s="1"/>
  <c r="L60" i="11" s="1"/>
  <c r="L55" i="11"/>
  <c r="L54" i="11" s="1"/>
  <c r="L53" i="11" s="1"/>
  <c r="L52" i="11" s="1"/>
  <c r="L9" i="11" a="1"/>
  <c r="L9" i="11" s="1"/>
  <c r="R37" i="11"/>
  <c r="S37" i="11" s="1"/>
  <c r="T37" i="11" s="1"/>
  <c r="U37" i="11" s="1"/>
  <c r="P37" i="11"/>
  <c r="O37" i="11" s="1"/>
  <c r="N37" i="11" s="1"/>
  <c r="M37" i="11" s="1"/>
  <c r="S51" i="11"/>
  <c r="T51" i="11" s="1"/>
  <c r="U51" i="11" s="1"/>
  <c r="R51" i="11"/>
  <c r="P51" i="11"/>
  <c r="O51" i="11" s="1"/>
  <c r="N51" i="11" s="1"/>
  <c r="M51" i="11" s="1"/>
  <c r="L23" i="4"/>
  <c r="M23" i="4" s="1"/>
  <c r="N23" i="4" s="1"/>
  <c r="O23" i="4" s="1"/>
  <c r="P23" i="4" s="1"/>
  <c r="H10" i="13" l="1"/>
  <c r="J63" i="4" l="1"/>
  <c r="D26" i="11" l="1"/>
  <c r="D27" i="11" s="1"/>
  <c r="C72" i="11" l="1"/>
  <c r="C71" i="11"/>
  <c r="L41" i="6"/>
  <c r="H9" i="13" l="1"/>
  <c r="F44" i="11" l="1"/>
  <c r="F59" i="11" s="1"/>
  <c r="F43" i="11"/>
  <c r="F58" i="11" s="1"/>
  <c r="E26" i="11" l="1"/>
  <c r="F27" i="11" s="1"/>
  <c r="H25" i="11"/>
  <c r="G25" i="11"/>
  <c r="F25" i="11"/>
  <c r="E25" i="11"/>
  <c r="E27" i="11" s="1"/>
  <c r="D25" i="11"/>
  <c r="D5" i="11"/>
  <c r="E38" i="13"/>
  <c r="F38" i="13" s="1"/>
  <c r="E37" i="13"/>
  <c r="F37" i="13" s="1"/>
  <c r="E36" i="13"/>
  <c r="F47" i="11" s="1"/>
  <c r="F62" i="11" s="1"/>
  <c r="G38" i="13"/>
  <c r="G37" i="13"/>
  <c r="G36" i="13"/>
  <c r="C38" i="13"/>
  <c r="C37" i="13"/>
  <c r="C36" i="13"/>
  <c r="F36" i="13" l="1"/>
  <c r="D28" i="13" s="1"/>
  <c r="E28" i="13" s="1"/>
  <c r="F26" i="11"/>
  <c r="G26" i="11" s="1"/>
  <c r="H26" i="11" s="1"/>
  <c r="G27" i="11"/>
  <c r="H27" i="11" s="1"/>
  <c r="C46" i="13"/>
  <c r="C47" i="13"/>
  <c r="C48" i="13"/>
  <c r="C65" i="13"/>
  <c r="F59" i="13"/>
  <c r="E66" i="13"/>
  <c r="F66" i="13" s="1"/>
  <c r="E65" i="13"/>
  <c r="F65" i="13" s="1"/>
  <c r="C60" i="13"/>
  <c r="C59" i="13"/>
  <c r="C58" i="13"/>
  <c r="E60" i="13"/>
  <c r="F60" i="13" s="1"/>
  <c r="E58" i="13"/>
  <c r="F58" i="13" s="1"/>
  <c r="E59" i="13"/>
  <c r="F48" i="13"/>
  <c r="F64" i="13"/>
  <c r="C54" i="13"/>
  <c r="C53" i="13"/>
  <c r="C52" i="13"/>
  <c r="E54" i="13"/>
  <c r="F54" i="13" s="1"/>
  <c r="E53" i="13"/>
  <c r="F53" i="13" s="1"/>
  <c r="E52" i="13"/>
  <c r="F52" i="13" s="1"/>
  <c r="E46" i="13"/>
  <c r="F46" i="13" s="1"/>
  <c r="E47" i="13"/>
  <c r="F47" i="13" s="1"/>
  <c r="E48" i="13"/>
  <c r="E43" i="13"/>
  <c r="F43" i="13" s="1"/>
  <c r="C43" i="13"/>
  <c r="E42" i="13"/>
  <c r="F42" i="13" s="1"/>
  <c r="E41" i="13"/>
  <c r="F41" i="13" s="1"/>
  <c r="C42" i="13"/>
  <c r="C41" i="13"/>
  <c r="D7" i="13"/>
  <c r="D21" i="13" l="1"/>
  <c r="D20" i="13"/>
  <c r="D23" i="13"/>
  <c r="E23" i="13" s="1"/>
  <c r="D19" i="13"/>
  <c r="D22" i="13"/>
  <c r="M11" i="5"/>
  <c r="O11" i="5" s="1"/>
  <c r="P18" i="4"/>
  <c r="O18" i="4"/>
  <c r="N18" i="4"/>
  <c r="M18" i="4"/>
  <c r="L18" i="4"/>
  <c r="M41" i="6"/>
  <c r="N41" i="6" s="1"/>
  <c r="O41" i="6" s="1"/>
  <c r="P41" i="6" s="1"/>
  <c r="F34" i="6"/>
  <c r="I42" i="6"/>
  <c r="H42" i="6"/>
  <c r="G42" i="6"/>
  <c r="J42" i="6"/>
  <c r="G19" i="6"/>
  <c r="H19" i="6"/>
  <c r="I19" i="6"/>
  <c r="J19" i="6"/>
  <c r="F14" i="6"/>
  <c r="J9" i="6"/>
  <c r="I9" i="6"/>
  <c r="H9" i="6"/>
  <c r="G9" i="6"/>
  <c r="F9" i="6"/>
  <c r="F13" i="6" s="1"/>
  <c r="E21" i="13"/>
  <c r="C11" i="13"/>
  <c r="D25" i="13" l="1"/>
  <c r="E19" i="13"/>
  <c r="E25" i="13" s="1"/>
  <c r="E22" i="13"/>
  <c r="E20" i="13"/>
  <c r="K9" i="13"/>
  <c r="K10" i="13" l="1"/>
  <c r="G73" i="5" l="1"/>
  <c r="H73" i="5"/>
  <c r="I73" i="5"/>
  <c r="J73" i="5"/>
  <c r="J74" i="5" s="1"/>
  <c r="J11" i="7"/>
  <c r="I11" i="7"/>
  <c r="I31" i="8" s="1"/>
  <c r="H11" i="7"/>
  <c r="H31" i="8" s="1"/>
  <c r="G11" i="7"/>
  <c r="G31" i="8" s="1"/>
  <c r="F11" i="7"/>
  <c r="F31" i="8" s="1"/>
  <c r="J31" i="8" l="1"/>
  <c r="I15" i="7"/>
  <c r="G13" i="6"/>
  <c r="H13" i="6"/>
  <c r="I13" i="6"/>
  <c r="J118" i="4"/>
  <c r="J117" i="4"/>
  <c r="J113" i="4"/>
  <c r="AB173" i="10"/>
  <c r="AB174" i="10"/>
  <c r="AB175" i="10"/>
  <c r="AB176" i="10"/>
  <c r="AB177" i="10"/>
  <c r="AB178" i="10"/>
  <c r="AB179" i="10"/>
  <c r="AB180" i="10"/>
  <c r="AB181" i="10"/>
  <c r="AB182" i="10"/>
  <c r="AB183" i="10"/>
  <c r="AB184" i="10"/>
  <c r="AB185" i="10"/>
  <c r="AB186" i="10"/>
  <c r="AB187" i="10"/>
  <c r="AB188" i="10"/>
  <c r="AB189" i="10"/>
  <c r="AB190" i="10"/>
  <c r="AB191" i="10"/>
  <c r="AB192" i="10"/>
  <c r="AB193" i="10"/>
  <c r="AB194" i="10"/>
  <c r="AB195" i="10"/>
  <c r="AB196" i="10"/>
  <c r="AB197" i="10"/>
  <c r="AB198" i="10"/>
  <c r="AB199" i="10"/>
  <c r="AB200" i="10"/>
  <c r="AB201" i="10"/>
  <c r="AB202" i="10"/>
  <c r="AB203" i="10"/>
  <c r="AB204" i="10"/>
  <c r="AB205" i="10"/>
  <c r="AB206" i="10"/>
  <c r="AB207" i="10"/>
  <c r="AB208" i="10"/>
  <c r="AB209" i="10"/>
  <c r="AB210" i="10"/>
  <c r="AB211" i="10"/>
  <c r="AB212" i="10"/>
  <c r="AB213" i="10"/>
  <c r="AB214" i="10"/>
  <c r="AB215" i="10"/>
  <c r="AB216" i="10"/>
  <c r="AB217" i="10"/>
  <c r="AB218" i="10"/>
  <c r="AB219" i="10"/>
  <c r="AB220" i="10"/>
  <c r="AB221" i="10"/>
  <c r="AB222" i="10"/>
  <c r="AB223" i="10"/>
  <c r="AB224" i="10"/>
  <c r="AB225" i="10"/>
  <c r="AB226" i="10"/>
  <c r="AB227" i="10"/>
  <c r="AB228" i="10"/>
  <c r="AB229" i="10"/>
  <c r="AB230" i="10"/>
  <c r="AB231" i="10"/>
  <c r="AB232" i="10"/>
  <c r="AB233" i="10"/>
  <c r="AB234" i="10"/>
  <c r="AB235" i="10"/>
  <c r="AB236" i="10"/>
  <c r="AB237" i="10"/>
  <c r="AB238" i="10"/>
  <c r="AB239" i="10"/>
  <c r="AB240" i="10"/>
  <c r="AB241" i="10"/>
  <c r="AB242" i="10"/>
  <c r="AB243" i="10"/>
  <c r="AB244" i="10"/>
  <c r="AB245" i="10"/>
  <c r="AB246" i="10"/>
  <c r="AB247" i="10"/>
  <c r="AB248" i="10"/>
  <c r="AB249" i="10"/>
  <c r="AB250" i="10"/>
  <c r="AB251" i="10"/>
  <c r="AB252" i="10"/>
  <c r="AB253" i="10"/>
  <c r="AB254" i="10"/>
  <c r="AB255" i="10"/>
  <c r="AB256" i="10"/>
  <c r="AB257" i="10"/>
  <c r="AB258" i="10"/>
  <c r="AB259" i="10"/>
  <c r="AB260" i="10"/>
  <c r="AB261" i="10"/>
  <c r="AB262" i="10"/>
  <c r="AB263" i="10"/>
  <c r="AB264" i="10"/>
  <c r="AB265" i="10"/>
  <c r="AB266" i="10"/>
  <c r="AB267" i="10"/>
  <c r="AB268" i="10"/>
  <c r="AB269" i="10"/>
  <c r="AB270" i="10"/>
  <c r="AB271" i="10"/>
  <c r="AB272" i="10"/>
  <c r="AB273" i="10"/>
  <c r="AB274" i="10"/>
  <c r="AB275" i="10"/>
  <c r="AB276" i="10"/>
  <c r="AB277" i="10"/>
  <c r="AB278" i="10"/>
  <c r="AB279" i="10"/>
  <c r="AB280" i="10"/>
  <c r="AB281" i="10"/>
  <c r="AB282" i="10"/>
  <c r="AB283" i="10"/>
  <c r="AB284" i="10"/>
  <c r="AB285" i="10"/>
  <c r="AB286" i="10"/>
  <c r="AB287" i="10"/>
  <c r="AB288" i="10"/>
  <c r="AB289" i="10"/>
  <c r="AB290" i="10"/>
  <c r="AB291" i="10"/>
  <c r="AB292" i="10"/>
  <c r="AB293" i="10"/>
  <c r="AB294" i="10"/>
  <c r="AB295" i="10"/>
  <c r="AB296" i="10"/>
  <c r="AB297" i="10"/>
  <c r="AB298" i="10"/>
  <c r="AB299" i="10"/>
  <c r="AB300" i="10"/>
  <c r="AB301" i="10"/>
  <c r="AB302" i="10"/>
  <c r="AB303" i="10"/>
  <c r="AB304" i="10"/>
  <c r="AB305" i="10"/>
  <c r="AB306" i="10"/>
  <c r="AB307" i="10"/>
  <c r="AB308" i="10"/>
  <c r="AB309" i="10"/>
  <c r="AB310" i="10"/>
  <c r="AB311" i="10"/>
  <c r="AB312" i="10"/>
  <c r="AB313" i="10"/>
  <c r="AB314" i="10"/>
  <c r="AB315" i="10"/>
  <c r="AB316" i="10"/>
  <c r="AB317" i="10"/>
  <c r="AB318" i="10"/>
  <c r="AB319" i="10"/>
  <c r="AB320" i="10"/>
  <c r="AB321" i="10"/>
  <c r="AB322" i="10"/>
  <c r="AB323" i="10"/>
  <c r="AB324" i="10"/>
  <c r="AB325" i="10"/>
  <c r="AB326" i="10"/>
  <c r="AB327" i="10"/>
  <c r="AB328" i="10"/>
  <c r="AB329" i="10"/>
  <c r="AB330" i="10"/>
  <c r="AB331" i="10"/>
  <c r="AB332" i="10"/>
  <c r="AB333" i="10"/>
  <c r="AB334" i="10"/>
  <c r="AB335" i="10"/>
  <c r="AB336" i="10"/>
  <c r="AB337" i="10"/>
  <c r="AB338" i="10"/>
  <c r="AB339" i="10"/>
  <c r="AB340" i="10"/>
  <c r="AB341" i="10"/>
  <c r="AB342" i="10"/>
  <c r="AB343" i="10"/>
  <c r="AB344" i="10"/>
  <c r="AB345" i="10"/>
  <c r="AB346" i="10"/>
  <c r="AB347" i="10"/>
  <c r="AB348" i="10"/>
  <c r="AB349" i="10"/>
  <c r="AB350" i="10"/>
  <c r="AB351" i="10"/>
  <c r="AB352" i="10"/>
  <c r="AB353" i="10"/>
  <c r="AB354" i="10"/>
  <c r="AB355" i="10"/>
  <c r="AB356" i="10"/>
  <c r="AB357" i="10"/>
  <c r="AB358" i="10"/>
  <c r="AB359" i="10"/>
  <c r="AB360" i="10"/>
  <c r="AB361" i="10"/>
  <c r="AB362" i="10"/>
  <c r="AB363" i="10"/>
  <c r="AB364" i="10"/>
  <c r="AB365" i="10"/>
  <c r="AB366" i="10"/>
  <c r="AB367" i="10"/>
  <c r="AB368" i="10"/>
  <c r="AB369" i="10"/>
  <c r="AB370" i="10"/>
  <c r="AB371" i="10"/>
  <c r="AB372" i="10"/>
  <c r="AB373" i="10"/>
  <c r="AB374" i="10"/>
  <c r="AB375" i="10"/>
  <c r="AB376" i="10"/>
  <c r="AB377" i="10"/>
  <c r="AB378" i="10"/>
  <c r="AB379" i="10"/>
  <c r="AB380" i="10"/>
  <c r="AB381" i="10"/>
  <c r="AB382" i="10"/>
  <c r="X173" i="10"/>
  <c r="X174" i="10"/>
  <c r="X175" i="10"/>
  <c r="X176" i="10"/>
  <c r="X177" i="10"/>
  <c r="X178" i="10"/>
  <c r="X179" i="10"/>
  <c r="X180" i="10"/>
  <c r="X181" i="10"/>
  <c r="X182" i="10"/>
  <c r="X183" i="10"/>
  <c r="X184" i="10"/>
  <c r="X185" i="10"/>
  <c r="X186" i="10"/>
  <c r="X187" i="10"/>
  <c r="X188" i="10"/>
  <c r="X189" i="10"/>
  <c r="X190" i="10"/>
  <c r="X191" i="10"/>
  <c r="X192" i="10"/>
  <c r="X193" i="10"/>
  <c r="X194" i="10"/>
  <c r="X195" i="10"/>
  <c r="X196" i="10"/>
  <c r="X197" i="10"/>
  <c r="X198" i="10"/>
  <c r="X199" i="10"/>
  <c r="X200" i="10"/>
  <c r="X201" i="10"/>
  <c r="X202" i="10"/>
  <c r="X203" i="10"/>
  <c r="X204" i="10"/>
  <c r="X205" i="10"/>
  <c r="X206" i="10"/>
  <c r="X207" i="10"/>
  <c r="X208" i="10"/>
  <c r="X209" i="10"/>
  <c r="X210" i="10"/>
  <c r="X211" i="10"/>
  <c r="X212" i="10"/>
  <c r="X213" i="10"/>
  <c r="X214" i="10"/>
  <c r="X215" i="10"/>
  <c r="X216" i="10"/>
  <c r="X217" i="10"/>
  <c r="X218" i="10"/>
  <c r="X219" i="10"/>
  <c r="X220" i="10"/>
  <c r="X221" i="10"/>
  <c r="X222" i="10"/>
  <c r="X223" i="10"/>
  <c r="X224" i="10"/>
  <c r="X225" i="10"/>
  <c r="X226" i="10"/>
  <c r="X227" i="10"/>
  <c r="X228" i="10"/>
  <c r="X229" i="10"/>
  <c r="X230" i="10"/>
  <c r="X231" i="10"/>
  <c r="X232" i="10"/>
  <c r="X233" i="10"/>
  <c r="X234" i="10"/>
  <c r="X235" i="10"/>
  <c r="X236" i="10"/>
  <c r="X237" i="10"/>
  <c r="X238" i="10"/>
  <c r="X239" i="10"/>
  <c r="X240" i="10"/>
  <c r="X241" i="10"/>
  <c r="X242" i="10"/>
  <c r="X243" i="10"/>
  <c r="X244" i="10"/>
  <c r="X245" i="10"/>
  <c r="X246" i="10"/>
  <c r="X247" i="10"/>
  <c r="X248" i="10"/>
  <c r="X249" i="10"/>
  <c r="X250" i="10"/>
  <c r="X251" i="10"/>
  <c r="X252" i="10"/>
  <c r="X253" i="10"/>
  <c r="X254" i="10"/>
  <c r="X255" i="10"/>
  <c r="X256" i="10"/>
  <c r="X257" i="10"/>
  <c r="X258" i="10"/>
  <c r="X259" i="10"/>
  <c r="X260" i="10"/>
  <c r="X261" i="10"/>
  <c r="X262" i="10"/>
  <c r="X263" i="10"/>
  <c r="X264" i="10"/>
  <c r="X265" i="10"/>
  <c r="X266" i="10"/>
  <c r="X267" i="10"/>
  <c r="X268" i="10"/>
  <c r="X269" i="10"/>
  <c r="X270" i="10"/>
  <c r="X271" i="10"/>
  <c r="X272" i="10"/>
  <c r="X273" i="10"/>
  <c r="X274" i="10"/>
  <c r="X275" i="10"/>
  <c r="X276" i="10"/>
  <c r="X277" i="10"/>
  <c r="X278" i="10"/>
  <c r="X279" i="10"/>
  <c r="X280" i="10"/>
  <c r="X281" i="10"/>
  <c r="X282" i="10"/>
  <c r="X283" i="10"/>
  <c r="X284" i="10"/>
  <c r="X285" i="10"/>
  <c r="X286" i="10"/>
  <c r="X287" i="10"/>
  <c r="X288" i="10"/>
  <c r="X289" i="10"/>
  <c r="X290" i="10"/>
  <c r="X291" i="10"/>
  <c r="X292" i="10"/>
  <c r="X293" i="10"/>
  <c r="X294" i="10"/>
  <c r="X295" i="10"/>
  <c r="X296" i="10"/>
  <c r="X297" i="10"/>
  <c r="X298" i="10"/>
  <c r="X299" i="10"/>
  <c r="X300" i="10"/>
  <c r="X301" i="10"/>
  <c r="X302" i="10"/>
  <c r="X303" i="10"/>
  <c r="X304" i="10"/>
  <c r="X305" i="10"/>
  <c r="X306" i="10"/>
  <c r="X307" i="10"/>
  <c r="X308" i="10"/>
  <c r="X309" i="10"/>
  <c r="X310" i="10"/>
  <c r="X311" i="10"/>
  <c r="X312" i="10"/>
  <c r="X313" i="10"/>
  <c r="X314" i="10"/>
  <c r="X315" i="10"/>
  <c r="X316" i="10"/>
  <c r="X317" i="10"/>
  <c r="X318" i="10"/>
  <c r="X319" i="10"/>
  <c r="X320" i="10"/>
  <c r="X321" i="10"/>
  <c r="X322" i="10"/>
  <c r="X323" i="10"/>
  <c r="X324" i="10"/>
  <c r="X325" i="10"/>
  <c r="X326" i="10"/>
  <c r="X327" i="10"/>
  <c r="X328" i="10"/>
  <c r="X329" i="10"/>
  <c r="X330" i="10"/>
  <c r="X331" i="10"/>
  <c r="X332" i="10"/>
  <c r="X333" i="10"/>
  <c r="X334" i="10"/>
  <c r="X335" i="10"/>
  <c r="X336" i="10"/>
  <c r="X337" i="10"/>
  <c r="X338" i="10"/>
  <c r="X339" i="10"/>
  <c r="X340" i="10"/>
  <c r="X341" i="10"/>
  <c r="X342" i="10"/>
  <c r="X343" i="10"/>
  <c r="X344" i="10"/>
  <c r="X345" i="10"/>
  <c r="X346" i="10"/>
  <c r="X347" i="10"/>
  <c r="X348" i="10"/>
  <c r="X349" i="10"/>
  <c r="X350" i="10"/>
  <c r="X351" i="10"/>
  <c r="X352" i="10"/>
  <c r="X353" i="10"/>
  <c r="X354" i="10"/>
  <c r="X355" i="10"/>
  <c r="X356" i="10"/>
  <c r="X357" i="10"/>
  <c r="X358" i="10"/>
  <c r="X359" i="10"/>
  <c r="X360" i="10"/>
  <c r="X361" i="10"/>
  <c r="X362" i="10"/>
  <c r="X363" i="10"/>
  <c r="X364" i="10"/>
  <c r="X365" i="10"/>
  <c r="X366" i="10"/>
  <c r="X367" i="10"/>
  <c r="X368" i="10"/>
  <c r="X369" i="10"/>
  <c r="X370" i="10"/>
  <c r="X371" i="10"/>
  <c r="X372" i="10"/>
  <c r="X373" i="10"/>
  <c r="X374" i="10"/>
  <c r="X375" i="10"/>
  <c r="X376" i="10"/>
  <c r="X377" i="10"/>
  <c r="X378" i="10"/>
  <c r="X379" i="10"/>
  <c r="X380" i="10"/>
  <c r="X381" i="10"/>
  <c r="X382" i="10"/>
  <c r="T173" i="10"/>
  <c r="T174" i="10"/>
  <c r="T175" i="10"/>
  <c r="T176" i="10"/>
  <c r="T177" i="10"/>
  <c r="T178" i="10"/>
  <c r="T179" i="10"/>
  <c r="T180" i="10"/>
  <c r="T181" i="10"/>
  <c r="T182" i="10"/>
  <c r="T183" i="10"/>
  <c r="T184" i="10"/>
  <c r="T185" i="10"/>
  <c r="T186" i="10"/>
  <c r="T187" i="10"/>
  <c r="T188" i="10"/>
  <c r="T189" i="10"/>
  <c r="T190" i="10"/>
  <c r="T191" i="10"/>
  <c r="T192" i="10"/>
  <c r="T193" i="10"/>
  <c r="T194" i="10"/>
  <c r="T195" i="10"/>
  <c r="T196" i="10"/>
  <c r="T197" i="10"/>
  <c r="T198" i="10"/>
  <c r="T199" i="10"/>
  <c r="T200" i="10"/>
  <c r="T201" i="10"/>
  <c r="T202" i="10"/>
  <c r="T203" i="10"/>
  <c r="T204" i="10"/>
  <c r="T205" i="10"/>
  <c r="T206" i="10"/>
  <c r="T207" i="10"/>
  <c r="T208" i="10"/>
  <c r="T209" i="10"/>
  <c r="T210" i="10"/>
  <c r="T211" i="10"/>
  <c r="T212" i="10"/>
  <c r="T213" i="10"/>
  <c r="T214" i="10"/>
  <c r="T215" i="10"/>
  <c r="T216" i="10"/>
  <c r="T217" i="10"/>
  <c r="T218" i="10"/>
  <c r="T219" i="10"/>
  <c r="T220" i="10"/>
  <c r="T221" i="10"/>
  <c r="T222" i="10"/>
  <c r="T223" i="10"/>
  <c r="T224" i="10"/>
  <c r="T225" i="10"/>
  <c r="T226" i="10"/>
  <c r="T227" i="10"/>
  <c r="T228" i="10"/>
  <c r="T229" i="10"/>
  <c r="T230" i="10"/>
  <c r="T231" i="10"/>
  <c r="T232" i="10"/>
  <c r="T233" i="10"/>
  <c r="T234" i="10"/>
  <c r="T235" i="10"/>
  <c r="T236" i="10"/>
  <c r="T237" i="10"/>
  <c r="T238" i="10"/>
  <c r="T239" i="10"/>
  <c r="T240" i="10"/>
  <c r="T241" i="10"/>
  <c r="T242" i="10"/>
  <c r="T243" i="10"/>
  <c r="T244" i="10"/>
  <c r="T245" i="10"/>
  <c r="T246" i="10"/>
  <c r="T247" i="10"/>
  <c r="T248" i="10"/>
  <c r="T249" i="10"/>
  <c r="T250" i="10"/>
  <c r="T251" i="10"/>
  <c r="T252" i="10"/>
  <c r="T253" i="10"/>
  <c r="T254" i="10"/>
  <c r="T255" i="10"/>
  <c r="T256" i="10"/>
  <c r="T257" i="10"/>
  <c r="T258" i="10"/>
  <c r="T259" i="10"/>
  <c r="T260" i="10"/>
  <c r="T261" i="10"/>
  <c r="T262" i="10"/>
  <c r="T263" i="10"/>
  <c r="T264" i="10"/>
  <c r="T265" i="10"/>
  <c r="T266" i="10"/>
  <c r="T267" i="10"/>
  <c r="T268" i="10"/>
  <c r="T269" i="10"/>
  <c r="T270" i="10"/>
  <c r="T271" i="10"/>
  <c r="T272" i="10"/>
  <c r="T273" i="10"/>
  <c r="T274" i="10"/>
  <c r="T275" i="10"/>
  <c r="T276" i="10"/>
  <c r="T277" i="10"/>
  <c r="T278" i="10"/>
  <c r="T279" i="10"/>
  <c r="T280" i="10"/>
  <c r="T281" i="10"/>
  <c r="T282" i="10"/>
  <c r="T283" i="10"/>
  <c r="T284" i="10"/>
  <c r="T285" i="10"/>
  <c r="T286" i="10"/>
  <c r="T287" i="10"/>
  <c r="T288" i="10"/>
  <c r="T289" i="10"/>
  <c r="T290" i="10"/>
  <c r="T291" i="10"/>
  <c r="T292" i="10"/>
  <c r="T293" i="10"/>
  <c r="T294" i="10"/>
  <c r="T295" i="10"/>
  <c r="T296" i="10"/>
  <c r="T297" i="10"/>
  <c r="T298" i="10"/>
  <c r="T299" i="10"/>
  <c r="T300" i="10"/>
  <c r="T301" i="10"/>
  <c r="T302" i="10"/>
  <c r="T303" i="10"/>
  <c r="T304" i="10"/>
  <c r="T305" i="10"/>
  <c r="T306" i="10"/>
  <c r="T307" i="10"/>
  <c r="T308" i="10"/>
  <c r="T309" i="10"/>
  <c r="T310" i="10"/>
  <c r="T311" i="10"/>
  <c r="T312" i="10"/>
  <c r="T313" i="10"/>
  <c r="T314" i="10"/>
  <c r="T315" i="10"/>
  <c r="T316" i="10"/>
  <c r="T317" i="10"/>
  <c r="T318" i="10"/>
  <c r="T319" i="10"/>
  <c r="T320" i="10"/>
  <c r="T321" i="10"/>
  <c r="T322" i="10"/>
  <c r="T323" i="10"/>
  <c r="T324" i="10"/>
  <c r="T325" i="10"/>
  <c r="T326" i="10"/>
  <c r="T327" i="10"/>
  <c r="T328" i="10"/>
  <c r="T329" i="10"/>
  <c r="T330" i="10"/>
  <c r="T331" i="10"/>
  <c r="T332" i="10"/>
  <c r="T333" i="10"/>
  <c r="T334" i="10"/>
  <c r="T335" i="10"/>
  <c r="T336" i="10"/>
  <c r="T337" i="10"/>
  <c r="T338" i="10"/>
  <c r="T339" i="10"/>
  <c r="T340" i="10"/>
  <c r="T341" i="10"/>
  <c r="T342" i="10"/>
  <c r="T343" i="10"/>
  <c r="T344" i="10"/>
  <c r="T345" i="10"/>
  <c r="T346" i="10"/>
  <c r="T347" i="10"/>
  <c r="T348" i="10"/>
  <c r="T349" i="10"/>
  <c r="T350" i="10"/>
  <c r="T351" i="10"/>
  <c r="T352" i="10"/>
  <c r="T353" i="10"/>
  <c r="T354" i="10"/>
  <c r="T355" i="10"/>
  <c r="T356" i="10"/>
  <c r="T357" i="10"/>
  <c r="T358" i="10"/>
  <c r="T359" i="10"/>
  <c r="T360" i="10"/>
  <c r="T361" i="10"/>
  <c r="T362" i="10"/>
  <c r="T363" i="10"/>
  <c r="T364" i="10"/>
  <c r="T365" i="10"/>
  <c r="T366" i="10"/>
  <c r="T367" i="10"/>
  <c r="T368" i="10"/>
  <c r="T369" i="10"/>
  <c r="T370" i="10"/>
  <c r="T371" i="10"/>
  <c r="T372" i="10"/>
  <c r="T373" i="10"/>
  <c r="T374" i="10"/>
  <c r="T375" i="10"/>
  <c r="T376" i="10"/>
  <c r="T377" i="10"/>
  <c r="T378" i="10"/>
  <c r="T379" i="10"/>
  <c r="T380" i="10"/>
  <c r="T381" i="10"/>
  <c r="T382" i="10"/>
  <c r="P173" i="10"/>
  <c r="P174" i="10"/>
  <c r="P175" i="10"/>
  <c r="P176" i="10"/>
  <c r="P177" i="10"/>
  <c r="P178" i="10"/>
  <c r="P179" i="10"/>
  <c r="P180" i="10"/>
  <c r="P181" i="10"/>
  <c r="P182" i="10"/>
  <c r="P183" i="10"/>
  <c r="P184" i="10"/>
  <c r="P185" i="10"/>
  <c r="P186" i="10"/>
  <c r="P187" i="10"/>
  <c r="P188" i="10"/>
  <c r="P189" i="10"/>
  <c r="P190" i="10"/>
  <c r="P191" i="10"/>
  <c r="P192" i="10"/>
  <c r="P193" i="10"/>
  <c r="P194" i="10"/>
  <c r="P195" i="10"/>
  <c r="P196" i="10"/>
  <c r="P197" i="10"/>
  <c r="P198" i="10"/>
  <c r="P199" i="10"/>
  <c r="P200" i="10"/>
  <c r="P201" i="10"/>
  <c r="P202" i="10"/>
  <c r="P203" i="10"/>
  <c r="P204" i="10"/>
  <c r="P205" i="10"/>
  <c r="P206" i="10"/>
  <c r="P207" i="10"/>
  <c r="P208" i="10"/>
  <c r="P209" i="10"/>
  <c r="P210" i="10"/>
  <c r="P211" i="10"/>
  <c r="P212" i="10"/>
  <c r="P213" i="10"/>
  <c r="P214" i="10"/>
  <c r="P215" i="10"/>
  <c r="P216" i="10"/>
  <c r="P217" i="10"/>
  <c r="P218" i="10"/>
  <c r="P219" i="10"/>
  <c r="P220" i="10"/>
  <c r="P221" i="10"/>
  <c r="P222" i="10"/>
  <c r="P223" i="10"/>
  <c r="P224" i="10"/>
  <c r="P225" i="10"/>
  <c r="P226" i="10"/>
  <c r="P227" i="10"/>
  <c r="P228" i="10"/>
  <c r="P229" i="10"/>
  <c r="P230" i="10"/>
  <c r="P231" i="10"/>
  <c r="P232" i="10"/>
  <c r="P233" i="10"/>
  <c r="P234" i="10"/>
  <c r="P235" i="10"/>
  <c r="P236" i="10"/>
  <c r="P237" i="10"/>
  <c r="P238" i="10"/>
  <c r="P239" i="10"/>
  <c r="P240" i="10"/>
  <c r="P241" i="10"/>
  <c r="P242" i="10"/>
  <c r="P243" i="10"/>
  <c r="P244" i="10"/>
  <c r="P245" i="10"/>
  <c r="P246" i="10"/>
  <c r="P247" i="10"/>
  <c r="P248" i="10"/>
  <c r="P249" i="10"/>
  <c r="P250" i="10"/>
  <c r="P251" i="10"/>
  <c r="P252" i="10"/>
  <c r="P253" i="10"/>
  <c r="P254" i="10"/>
  <c r="P255" i="10"/>
  <c r="P256" i="10"/>
  <c r="P257" i="10"/>
  <c r="P258" i="10"/>
  <c r="P259" i="10"/>
  <c r="P260" i="10"/>
  <c r="P261" i="10"/>
  <c r="P262" i="10"/>
  <c r="P263" i="10"/>
  <c r="P264" i="10"/>
  <c r="P265" i="10"/>
  <c r="P266" i="10"/>
  <c r="P267" i="10"/>
  <c r="P268" i="10"/>
  <c r="P269" i="10"/>
  <c r="P270" i="10"/>
  <c r="P271" i="10"/>
  <c r="P272" i="10"/>
  <c r="P273" i="10"/>
  <c r="P274" i="10"/>
  <c r="P275" i="10"/>
  <c r="P276" i="10"/>
  <c r="P277" i="10"/>
  <c r="P278" i="10"/>
  <c r="P279" i="10"/>
  <c r="P280" i="10"/>
  <c r="P281" i="10"/>
  <c r="P282" i="10"/>
  <c r="P283" i="10"/>
  <c r="P284" i="10"/>
  <c r="P285" i="10"/>
  <c r="P286" i="10"/>
  <c r="P287" i="10"/>
  <c r="P288" i="10"/>
  <c r="P289" i="10"/>
  <c r="P290" i="10"/>
  <c r="P291" i="10"/>
  <c r="P292" i="10"/>
  <c r="P293" i="10"/>
  <c r="P294" i="10"/>
  <c r="P295" i="10"/>
  <c r="P296" i="10"/>
  <c r="P297" i="10"/>
  <c r="P298" i="10"/>
  <c r="P299" i="10"/>
  <c r="P300" i="10"/>
  <c r="P301" i="10"/>
  <c r="P302" i="10"/>
  <c r="P303" i="10"/>
  <c r="P304" i="10"/>
  <c r="P305" i="10"/>
  <c r="P306" i="10"/>
  <c r="P307" i="10"/>
  <c r="P308" i="10"/>
  <c r="P309" i="10"/>
  <c r="P310" i="10"/>
  <c r="P311" i="10"/>
  <c r="P312" i="10"/>
  <c r="P313" i="10"/>
  <c r="P314" i="10"/>
  <c r="P315" i="10"/>
  <c r="P316" i="10"/>
  <c r="P317" i="10"/>
  <c r="P318" i="10"/>
  <c r="P319" i="10"/>
  <c r="P320" i="10"/>
  <c r="P321" i="10"/>
  <c r="P322" i="10"/>
  <c r="P323" i="10"/>
  <c r="P324" i="10"/>
  <c r="P325" i="10"/>
  <c r="P326" i="10"/>
  <c r="P327" i="10"/>
  <c r="P328" i="10"/>
  <c r="P329" i="10"/>
  <c r="P330" i="10"/>
  <c r="P331" i="10"/>
  <c r="P332" i="10"/>
  <c r="P333" i="10"/>
  <c r="P334" i="10"/>
  <c r="P335" i="10"/>
  <c r="P336" i="10"/>
  <c r="P337" i="10"/>
  <c r="P338" i="10"/>
  <c r="P339" i="10"/>
  <c r="P340" i="10"/>
  <c r="P341" i="10"/>
  <c r="P342" i="10"/>
  <c r="P343" i="10"/>
  <c r="P344" i="10"/>
  <c r="P345" i="10"/>
  <c r="P346" i="10"/>
  <c r="P347" i="10"/>
  <c r="P348" i="10"/>
  <c r="P349" i="10"/>
  <c r="P350" i="10"/>
  <c r="P351" i="10"/>
  <c r="P352" i="10"/>
  <c r="P353" i="10"/>
  <c r="P354" i="10"/>
  <c r="P355" i="10"/>
  <c r="P356" i="10"/>
  <c r="P357" i="10"/>
  <c r="P358" i="10"/>
  <c r="P359" i="10"/>
  <c r="P360" i="10"/>
  <c r="P361" i="10"/>
  <c r="P362" i="10"/>
  <c r="P363" i="10"/>
  <c r="P364" i="10"/>
  <c r="P365" i="10"/>
  <c r="P366" i="10"/>
  <c r="P367" i="10"/>
  <c r="P368" i="10"/>
  <c r="P369" i="10"/>
  <c r="P370" i="10"/>
  <c r="P371" i="10"/>
  <c r="P372" i="10"/>
  <c r="P373" i="10"/>
  <c r="P374" i="10"/>
  <c r="P375" i="10"/>
  <c r="P376" i="10"/>
  <c r="P377" i="10"/>
  <c r="P378" i="10"/>
  <c r="P379" i="10"/>
  <c r="P380" i="10"/>
  <c r="P381" i="10"/>
  <c r="P382" i="10"/>
  <c r="L173" i="10"/>
  <c r="L174" i="10"/>
  <c r="L175" i="10"/>
  <c r="L176" i="10"/>
  <c r="L177" i="10"/>
  <c r="L178" i="10"/>
  <c r="L179" i="10"/>
  <c r="L180" i="10"/>
  <c r="L181" i="10"/>
  <c r="L182" i="10"/>
  <c r="L183" i="10"/>
  <c r="L184" i="10"/>
  <c r="L185" i="10"/>
  <c r="L186" i="10"/>
  <c r="L187" i="10"/>
  <c r="L188" i="10"/>
  <c r="L189" i="10"/>
  <c r="L190" i="10"/>
  <c r="L191" i="10"/>
  <c r="L192" i="10"/>
  <c r="L193" i="10"/>
  <c r="L194" i="10"/>
  <c r="L195" i="10"/>
  <c r="L196" i="10"/>
  <c r="L197" i="10"/>
  <c r="L198" i="10"/>
  <c r="L199" i="10"/>
  <c r="L200" i="10"/>
  <c r="L201" i="10"/>
  <c r="L202" i="10"/>
  <c r="L203" i="10"/>
  <c r="L204" i="10"/>
  <c r="L205" i="10"/>
  <c r="L206" i="10"/>
  <c r="L207" i="10"/>
  <c r="L208" i="10"/>
  <c r="L209" i="10"/>
  <c r="L210" i="10"/>
  <c r="L211" i="10"/>
  <c r="L212" i="10"/>
  <c r="L213" i="10"/>
  <c r="L214" i="10"/>
  <c r="L215" i="10"/>
  <c r="L216" i="10"/>
  <c r="L217" i="10"/>
  <c r="L218" i="10"/>
  <c r="L219" i="10"/>
  <c r="L220" i="10"/>
  <c r="L221" i="10"/>
  <c r="L222" i="10"/>
  <c r="L223" i="10"/>
  <c r="L224" i="10"/>
  <c r="L225" i="10"/>
  <c r="L226" i="10"/>
  <c r="L227" i="10"/>
  <c r="L228" i="10"/>
  <c r="L229" i="10"/>
  <c r="L230" i="10"/>
  <c r="L231" i="10"/>
  <c r="L232" i="10"/>
  <c r="L233" i="10"/>
  <c r="L234" i="10"/>
  <c r="L235" i="10"/>
  <c r="L236" i="10"/>
  <c r="L237" i="10"/>
  <c r="L238" i="10"/>
  <c r="L239" i="10"/>
  <c r="L240" i="10"/>
  <c r="L241" i="10"/>
  <c r="L242" i="10"/>
  <c r="L243" i="10"/>
  <c r="L244" i="10"/>
  <c r="L245" i="10"/>
  <c r="L246" i="10"/>
  <c r="L247" i="10"/>
  <c r="L248" i="10"/>
  <c r="L249" i="10"/>
  <c r="L250" i="10"/>
  <c r="L251" i="10"/>
  <c r="L252" i="10"/>
  <c r="L253" i="10"/>
  <c r="L254" i="10"/>
  <c r="L255" i="10"/>
  <c r="L256" i="10"/>
  <c r="L257" i="10"/>
  <c r="L258" i="10"/>
  <c r="L259" i="10"/>
  <c r="L260" i="10"/>
  <c r="L261" i="10"/>
  <c r="L262" i="10"/>
  <c r="L263" i="10"/>
  <c r="L264" i="10"/>
  <c r="L265" i="10"/>
  <c r="L266" i="10"/>
  <c r="L267" i="10"/>
  <c r="L268" i="10"/>
  <c r="L269" i="10"/>
  <c r="L270" i="10"/>
  <c r="L271" i="10"/>
  <c r="L272" i="10"/>
  <c r="L273" i="10"/>
  <c r="L274" i="10"/>
  <c r="L275" i="10"/>
  <c r="L276" i="10"/>
  <c r="L277" i="10"/>
  <c r="L278" i="10"/>
  <c r="L279" i="10"/>
  <c r="L280" i="10"/>
  <c r="L281" i="10"/>
  <c r="L282" i="10"/>
  <c r="L283" i="10"/>
  <c r="L284" i="10"/>
  <c r="L285" i="10"/>
  <c r="L286" i="10"/>
  <c r="L287" i="10"/>
  <c r="L288" i="10"/>
  <c r="L289" i="10"/>
  <c r="L290" i="10"/>
  <c r="L291" i="10"/>
  <c r="L292" i="10"/>
  <c r="L293" i="10"/>
  <c r="L294" i="10"/>
  <c r="L295" i="10"/>
  <c r="L296" i="10"/>
  <c r="L297" i="10"/>
  <c r="L298" i="10"/>
  <c r="L299" i="10"/>
  <c r="L300" i="10"/>
  <c r="L301" i="10"/>
  <c r="L302" i="10"/>
  <c r="L303" i="10"/>
  <c r="L304" i="10"/>
  <c r="L305" i="10"/>
  <c r="L306" i="10"/>
  <c r="L307" i="10"/>
  <c r="L308" i="10"/>
  <c r="L309" i="10"/>
  <c r="L310" i="10"/>
  <c r="L311" i="10"/>
  <c r="L312" i="10"/>
  <c r="L313" i="10"/>
  <c r="L314" i="10"/>
  <c r="L315" i="10"/>
  <c r="L316" i="10"/>
  <c r="L317" i="10"/>
  <c r="L318" i="10"/>
  <c r="L319" i="10"/>
  <c r="L320" i="10"/>
  <c r="L321" i="10"/>
  <c r="L322" i="10"/>
  <c r="L323" i="10"/>
  <c r="L324" i="10"/>
  <c r="L325" i="10"/>
  <c r="L326" i="10"/>
  <c r="L327" i="10"/>
  <c r="L328" i="10"/>
  <c r="L329" i="10"/>
  <c r="L330" i="10"/>
  <c r="L331" i="10"/>
  <c r="L332" i="10"/>
  <c r="L333" i="10"/>
  <c r="L334" i="10"/>
  <c r="L335" i="10"/>
  <c r="L336" i="10"/>
  <c r="L337" i="10"/>
  <c r="L338" i="10"/>
  <c r="L339" i="10"/>
  <c r="L340" i="10"/>
  <c r="L341" i="10"/>
  <c r="L342" i="10"/>
  <c r="L343" i="10"/>
  <c r="L344" i="10"/>
  <c r="L345" i="10"/>
  <c r="L346" i="10"/>
  <c r="L347" i="10"/>
  <c r="L348" i="10"/>
  <c r="L349" i="10"/>
  <c r="L350" i="10"/>
  <c r="L351" i="10"/>
  <c r="L352" i="10"/>
  <c r="L353" i="10"/>
  <c r="L354" i="10"/>
  <c r="L355" i="10"/>
  <c r="L356" i="10"/>
  <c r="L357" i="10"/>
  <c r="L358" i="10"/>
  <c r="L359" i="10"/>
  <c r="L360" i="10"/>
  <c r="L361" i="10"/>
  <c r="L362" i="10"/>
  <c r="L363" i="10"/>
  <c r="L364" i="10"/>
  <c r="L365" i="10"/>
  <c r="L366" i="10"/>
  <c r="L367" i="10"/>
  <c r="L368" i="10"/>
  <c r="L369" i="10"/>
  <c r="L370" i="10"/>
  <c r="L371" i="10"/>
  <c r="L372" i="10"/>
  <c r="L373" i="10"/>
  <c r="L374" i="10"/>
  <c r="L375" i="10"/>
  <c r="L376" i="10"/>
  <c r="L377" i="10"/>
  <c r="L378" i="10"/>
  <c r="L379" i="10"/>
  <c r="L380" i="10"/>
  <c r="L381" i="10"/>
  <c r="L382" i="10"/>
  <c r="H173" i="10"/>
  <c r="H174" i="10"/>
  <c r="H175" i="10"/>
  <c r="H176" i="10"/>
  <c r="H177" i="10"/>
  <c r="H178" i="10"/>
  <c r="H179" i="10"/>
  <c r="H180" i="10"/>
  <c r="H181" i="10"/>
  <c r="H182" i="10"/>
  <c r="H183" i="10"/>
  <c r="H184" i="10"/>
  <c r="H185" i="10"/>
  <c r="H186" i="10"/>
  <c r="H187" i="10"/>
  <c r="H188" i="10"/>
  <c r="H189" i="10"/>
  <c r="H190" i="10"/>
  <c r="H191" i="10"/>
  <c r="H192" i="10"/>
  <c r="H193" i="10"/>
  <c r="H194" i="10"/>
  <c r="H195" i="10"/>
  <c r="H196" i="10"/>
  <c r="H197" i="10"/>
  <c r="H198" i="10"/>
  <c r="H199" i="10"/>
  <c r="H200" i="10"/>
  <c r="H201" i="10"/>
  <c r="H202" i="10"/>
  <c r="H203" i="10"/>
  <c r="H204" i="10"/>
  <c r="H205" i="10"/>
  <c r="H206" i="10"/>
  <c r="H207" i="10"/>
  <c r="H208" i="10"/>
  <c r="H209" i="10"/>
  <c r="H210" i="10"/>
  <c r="H211" i="10"/>
  <c r="H212" i="10"/>
  <c r="H213" i="10"/>
  <c r="H214" i="10"/>
  <c r="H215" i="10"/>
  <c r="H216" i="10"/>
  <c r="H217" i="10"/>
  <c r="H218" i="10"/>
  <c r="H219" i="10"/>
  <c r="H220" i="10"/>
  <c r="H221" i="10"/>
  <c r="H222" i="10"/>
  <c r="H223" i="10"/>
  <c r="H224" i="10"/>
  <c r="H225" i="10"/>
  <c r="H226" i="10"/>
  <c r="H227" i="10"/>
  <c r="H228" i="10"/>
  <c r="H229" i="10"/>
  <c r="H230" i="10"/>
  <c r="H231" i="10"/>
  <c r="H232" i="10"/>
  <c r="H233" i="10"/>
  <c r="H234" i="10"/>
  <c r="H235" i="10"/>
  <c r="H236" i="10"/>
  <c r="H237" i="10"/>
  <c r="H238" i="10"/>
  <c r="H239" i="10"/>
  <c r="H240" i="10"/>
  <c r="H241" i="10"/>
  <c r="H242" i="10"/>
  <c r="H243" i="10"/>
  <c r="H244" i="10"/>
  <c r="H245" i="10"/>
  <c r="H246" i="10"/>
  <c r="H247" i="10"/>
  <c r="H248" i="10"/>
  <c r="H249" i="10"/>
  <c r="H250" i="10"/>
  <c r="H251" i="10"/>
  <c r="H252" i="10"/>
  <c r="H253" i="10"/>
  <c r="H254" i="10"/>
  <c r="H255" i="10"/>
  <c r="H256" i="10"/>
  <c r="H257" i="10"/>
  <c r="H258" i="10"/>
  <c r="H259" i="10"/>
  <c r="H260" i="10"/>
  <c r="H261" i="10"/>
  <c r="H262" i="10"/>
  <c r="H263" i="10"/>
  <c r="H264" i="10"/>
  <c r="H265" i="10"/>
  <c r="H266" i="10"/>
  <c r="H267" i="10"/>
  <c r="H268" i="10"/>
  <c r="H269" i="10"/>
  <c r="H270" i="10"/>
  <c r="H271" i="10"/>
  <c r="H272" i="10"/>
  <c r="H273" i="10"/>
  <c r="H274" i="10"/>
  <c r="H275" i="10"/>
  <c r="H276" i="10"/>
  <c r="H277" i="10"/>
  <c r="H278" i="10"/>
  <c r="H279" i="10"/>
  <c r="H280" i="10"/>
  <c r="H281" i="10"/>
  <c r="H282" i="10"/>
  <c r="H283" i="10"/>
  <c r="H284" i="10"/>
  <c r="H285" i="10"/>
  <c r="H286" i="10"/>
  <c r="H287" i="10"/>
  <c r="H288" i="10"/>
  <c r="H289" i="10"/>
  <c r="H290" i="10"/>
  <c r="H291" i="10"/>
  <c r="H292" i="10"/>
  <c r="H293" i="10"/>
  <c r="H294" i="10"/>
  <c r="H295" i="10"/>
  <c r="H296" i="10"/>
  <c r="H297" i="10"/>
  <c r="H298" i="10"/>
  <c r="H299" i="10"/>
  <c r="H300" i="10"/>
  <c r="H301" i="10"/>
  <c r="H302" i="10"/>
  <c r="H303" i="10"/>
  <c r="H304" i="10"/>
  <c r="H305" i="10"/>
  <c r="H306" i="10"/>
  <c r="H307" i="10"/>
  <c r="H308" i="10"/>
  <c r="H309" i="10"/>
  <c r="H310" i="10"/>
  <c r="H311" i="10"/>
  <c r="H312" i="10"/>
  <c r="H313" i="10"/>
  <c r="H314" i="10"/>
  <c r="H315" i="10"/>
  <c r="H316" i="10"/>
  <c r="H317" i="10"/>
  <c r="H318" i="10"/>
  <c r="H319" i="10"/>
  <c r="H320" i="10"/>
  <c r="H321" i="10"/>
  <c r="H322" i="10"/>
  <c r="H323" i="10"/>
  <c r="H324" i="10"/>
  <c r="H325" i="10"/>
  <c r="H326" i="10"/>
  <c r="H327" i="10"/>
  <c r="H328" i="10"/>
  <c r="H329" i="10"/>
  <c r="H330" i="10"/>
  <c r="H331" i="10"/>
  <c r="H332" i="10"/>
  <c r="H333" i="10"/>
  <c r="H334" i="10"/>
  <c r="H335" i="10"/>
  <c r="H336" i="10"/>
  <c r="H337" i="10"/>
  <c r="H338" i="10"/>
  <c r="H339" i="10"/>
  <c r="H340" i="10"/>
  <c r="H341" i="10"/>
  <c r="H342" i="10"/>
  <c r="H343" i="10"/>
  <c r="H344" i="10"/>
  <c r="H345" i="10"/>
  <c r="H346" i="10"/>
  <c r="H347" i="10"/>
  <c r="H348" i="10"/>
  <c r="H349" i="10"/>
  <c r="H350" i="10"/>
  <c r="H351" i="10"/>
  <c r="H352" i="10"/>
  <c r="H353" i="10"/>
  <c r="H354" i="10"/>
  <c r="H355" i="10"/>
  <c r="H356" i="10"/>
  <c r="H357" i="10"/>
  <c r="H358" i="10"/>
  <c r="H359" i="10"/>
  <c r="H360" i="10"/>
  <c r="H361" i="10"/>
  <c r="H362" i="10"/>
  <c r="H363" i="10"/>
  <c r="H364" i="10"/>
  <c r="H365" i="10"/>
  <c r="H366" i="10"/>
  <c r="H367" i="10"/>
  <c r="H368" i="10"/>
  <c r="H369" i="10"/>
  <c r="H370" i="10"/>
  <c r="H371" i="10"/>
  <c r="H372" i="10"/>
  <c r="H373" i="10"/>
  <c r="H374" i="10"/>
  <c r="H375" i="10"/>
  <c r="H376" i="10"/>
  <c r="H377" i="10"/>
  <c r="H378" i="10"/>
  <c r="H379" i="10"/>
  <c r="H380" i="10"/>
  <c r="H381" i="10"/>
  <c r="H382" i="10"/>
  <c r="D173" i="10"/>
  <c r="D174" i="10"/>
  <c r="D175" i="10"/>
  <c r="D176" i="10"/>
  <c r="D177" i="10"/>
  <c r="D178" i="10"/>
  <c r="D179" i="10"/>
  <c r="D180" i="10"/>
  <c r="D181" i="10"/>
  <c r="D182" i="10"/>
  <c r="D183" i="10"/>
  <c r="D184" i="10"/>
  <c r="D185" i="10"/>
  <c r="D186" i="10"/>
  <c r="D187" i="10"/>
  <c r="D188" i="10"/>
  <c r="D189" i="10"/>
  <c r="D190" i="10"/>
  <c r="D191" i="10"/>
  <c r="D192" i="10"/>
  <c r="D193" i="10"/>
  <c r="D194" i="10"/>
  <c r="D195" i="10"/>
  <c r="D196" i="10"/>
  <c r="D197" i="10"/>
  <c r="D198" i="10"/>
  <c r="D199" i="10"/>
  <c r="D200" i="10"/>
  <c r="D201" i="10"/>
  <c r="D202" i="10"/>
  <c r="D203" i="10"/>
  <c r="D204" i="10"/>
  <c r="D205" i="10"/>
  <c r="D206" i="10"/>
  <c r="D207" i="10"/>
  <c r="D208" i="10"/>
  <c r="D209" i="10"/>
  <c r="D210" i="10"/>
  <c r="D211" i="10"/>
  <c r="D212" i="10"/>
  <c r="D213" i="10"/>
  <c r="D214" i="10"/>
  <c r="D215" i="10"/>
  <c r="D216" i="10"/>
  <c r="D217" i="10"/>
  <c r="D218" i="10"/>
  <c r="D219" i="10"/>
  <c r="D220" i="10"/>
  <c r="D221" i="10"/>
  <c r="D222" i="10"/>
  <c r="D223" i="10"/>
  <c r="D224" i="10"/>
  <c r="D225" i="10"/>
  <c r="D226" i="10"/>
  <c r="D227" i="10"/>
  <c r="D228" i="10"/>
  <c r="D229" i="10"/>
  <c r="D230" i="10"/>
  <c r="D231" i="10"/>
  <c r="D232" i="10"/>
  <c r="D233" i="10"/>
  <c r="D234" i="10"/>
  <c r="D235" i="10"/>
  <c r="D236" i="10"/>
  <c r="D237" i="10"/>
  <c r="D238" i="10"/>
  <c r="D239" i="10"/>
  <c r="D240" i="10"/>
  <c r="D241" i="10"/>
  <c r="D242" i="10"/>
  <c r="D243" i="10"/>
  <c r="D244" i="10"/>
  <c r="D245" i="10"/>
  <c r="D246" i="10"/>
  <c r="D247" i="10"/>
  <c r="D248" i="10"/>
  <c r="D249" i="10"/>
  <c r="D250" i="10"/>
  <c r="D251" i="10"/>
  <c r="D252" i="10"/>
  <c r="D253" i="10"/>
  <c r="D254" i="10"/>
  <c r="D255" i="10"/>
  <c r="D256" i="10"/>
  <c r="D257" i="10"/>
  <c r="D258" i="10"/>
  <c r="D259" i="10"/>
  <c r="D260" i="10"/>
  <c r="D261" i="10"/>
  <c r="D262" i="10"/>
  <c r="D263" i="10"/>
  <c r="D264" i="10"/>
  <c r="D265" i="10"/>
  <c r="D266" i="10"/>
  <c r="D267" i="10"/>
  <c r="D268" i="10"/>
  <c r="D269" i="10"/>
  <c r="D270" i="10"/>
  <c r="D271" i="10"/>
  <c r="D272" i="10"/>
  <c r="D273" i="10"/>
  <c r="D274" i="10"/>
  <c r="D275" i="10"/>
  <c r="D276" i="10"/>
  <c r="D277" i="10"/>
  <c r="D278" i="10"/>
  <c r="D279" i="10"/>
  <c r="D280" i="10"/>
  <c r="D281" i="10"/>
  <c r="D282" i="10"/>
  <c r="D283" i="10"/>
  <c r="D284" i="10"/>
  <c r="D285" i="10"/>
  <c r="D286" i="10"/>
  <c r="D287" i="10"/>
  <c r="D288" i="10"/>
  <c r="D289" i="10"/>
  <c r="D290" i="10"/>
  <c r="D291" i="10"/>
  <c r="D292" i="10"/>
  <c r="D293" i="10"/>
  <c r="D294" i="10"/>
  <c r="D295" i="10"/>
  <c r="D296" i="10"/>
  <c r="D297" i="10"/>
  <c r="D298" i="10"/>
  <c r="D299" i="10"/>
  <c r="D300" i="10"/>
  <c r="D301" i="10"/>
  <c r="D302" i="10"/>
  <c r="D303" i="10"/>
  <c r="D304" i="10"/>
  <c r="D305" i="10"/>
  <c r="D306" i="10"/>
  <c r="D307" i="10"/>
  <c r="D308" i="10"/>
  <c r="D309" i="10"/>
  <c r="D310" i="10"/>
  <c r="D311" i="10"/>
  <c r="D312" i="10"/>
  <c r="D313" i="10"/>
  <c r="D314" i="10"/>
  <c r="D315" i="10"/>
  <c r="D316" i="10"/>
  <c r="D317" i="10"/>
  <c r="D318" i="10"/>
  <c r="D319" i="10"/>
  <c r="D320" i="10"/>
  <c r="D321" i="10"/>
  <c r="D322" i="10"/>
  <c r="D323" i="10"/>
  <c r="D324" i="10"/>
  <c r="D325" i="10"/>
  <c r="D326" i="10"/>
  <c r="D327" i="10"/>
  <c r="D328" i="10"/>
  <c r="D329" i="10"/>
  <c r="D330" i="10"/>
  <c r="D331" i="10"/>
  <c r="D332" i="10"/>
  <c r="D333" i="10"/>
  <c r="D334" i="10"/>
  <c r="D335" i="10"/>
  <c r="D336" i="10"/>
  <c r="D337" i="10"/>
  <c r="D338" i="10"/>
  <c r="D339" i="10"/>
  <c r="D340" i="10"/>
  <c r="D341" i="10"/>
  <c r="D342" i="10"/>
  <c r="D343" i="10"/>
  <c r="D344" i="10"/>
  <c r="D345" i="10"/>
  <c r="D346" i="10"/>
  <c r="D347" i="10"/>
  <c r="D348" i="10"/>
  <c r="D349" i="10"/>
  <c r="D350" i="10"/>
  <c r="D351" i="10"/>
  <c r="D352" i="10"/>
  <c r="D353" i="10"/>
  <c r="D354" i="10"/>
  <c r="D355" i="10"/>
  <c r="D356" i="10"/>
  <c r="D357" i="10"/>
  <c r="D358" i="10"/>
  <c r="D359" i="10"/>
  <c r="D360" i="10"/>
  <c r="D361" i="10"/>
  <c r="D362" i="10"/>
  <c r="D363" i="10"/>
  <c r="D364" i="10"/>
  <c r="D365" i="10"/>
  <c r="D366" i="10"/>
  <c r="D367" i="10"/>
  <c r="D368" i="10"/>
  <c r="D369" i="10"/>
  <c r="D370" i="10"/>
  <c r="D371" i="10"/>
  <c r="D372" i="10"/>
  <c r="D373" i="10"/>
  <c r="D374" i="10"/>
  <c r="D375" i="10"/>
  <c r="D376" i="10"/>
  <c r="D377" i="10"/>
  <c r="D378" i="10"/>
  <c r="D379" i="10"/>
  <c r="D380" i="10"/>
  <c r="D381" i="10"/>
  <c r="D382" i="10"/>
  <c r="AB172" i="10"/>
  <c r="AB171" i="10"/>
  <c r="AB170" i="10"/>
  <c r="AB169" i="10"/>
  <c r="AB168" i="10"/>
  <c r="AB167" i="10"/>
  <c r="AB166" i="10"/>
  <c r="AB165" i="10"/>
  <c r="AB164" i="10"/>
  <c r="AB163" i="10"/>
  <c r="AB162" i="10"/>
  <c r="AB161" i="10"/>
  <c r="AB160" i="10"/>
  <c r="AB159" i="10"/>
  <c r="AB158" i="10"/>
  <c r="AB157" i="10"/>
  <c r="AB156" i="10"/>
  <c r="AB155" i="10"/>
  <c r="AB154" i="10"/>
  <c r="AB153" i="10"/>
  <c r="AB152" i="10"/>
  <c r="AB151" i="10"/>
  <c r="AB150" i="10"/>
  <c r="AB149" i="10"/>
  <c r="AB148" i="10"/>
  <c r="AB147" i="10"/>
  <c r="AB146" i="10"/>
  <c r="AB145" i="10"/>
  <c r="AB144" i="10"/>
  <c r="AB143" i="10"/>
  <c r="AB142" i="10"/>
  <c r="AB141" i="10"/>
  <c r="AB140" i="10"/>
  <c r="AB139" i="10"/>
  <c r="AB138" i="10"/>
  <c r="AB137" i="10"/>
  <c r="AB136" i="10"/>
  <c r="AB135" i="10"/>
  <c r="AB134" i="10"/>
  <c r="AB133" i="10"/>
  <c r="AB132" i="10"/>
  <c r="AB131" i="10"/>
  <c r="AB130" i="10"/>
  <c r="AB129" i="10"/>
  <c r="AB128" i="10"/>
  <c r="AB127" i="10"/>
  <c r="AB126" i="10"/>
  <c r="AB125" i="10"/>
  <c r="AB124" i="10"/>
  <c r="AB123" i="10"/>
  <c r="AB122" i="10"/>
  <c r="AB121" i="10"/>
  <c r="AB120" i="10"/>
  <c r="AB119" i="10"/>
  <c r="AB118" i="10"/>
  <c r="AB117" i="10"/>
  <c r="AB116" i="10"/>
  <c r="AB115" i="10"/>
  <c r="AB114" i="10"/>
  <c r="AB113" i="10"/>
  <c r="AB112" i="10"/>
  <c r="AB111" i="10"/>
  <c r="AB110" i="10"/>
  <c r="AB109" i="10"/>
  <c r="AB108" i="10"/>
  <c r="AB107" i="10"/>
  <c r="AB106" i="10"/>
  <c r="AB105" i="10"/>
  <c r="AB104" i="10"/>
  <c r="AB103" i="10"/>
  <c r="AB102" i="10"/>
  <c r="AB101" i="10"/>
  <c r="AB100" i="10"/>
  <c r="AB99" i="10"/>
  <c r="AB98" i="10"/>
  <c r="AB97" i="10"/>
  <c r="AB96" i="10"/>
  <c r="AB95" i="10"/>
  <c r="AB94" i="10"/>
  <c r="AB93" i="10"/>
  <c r="AB92" i="10"/>
  <c r="AB91" i="10"/>
  <c r="AB90" i="10"/>
  <c r="AB89" i="10"/>
  <c r="AB88" i="10"/>
  <c r="AB87" i="10"/>
  <c r="AB86" i="10"/>
  <c r="AB85" i="10"/>
  <c r="AB84" i="10"/>
  <c r="AB83" i="10"/>
  <c r="AB82" i="10"/>
  <c r="AB81" i="10"/>
  <c r="AB80" i="10"/>
  <c r="AB79" i="10"/>
  <c r="AB78" i="10"/>
  <c r="AB77" i="10"/>
  <c r="AB76" i="10"/>
  <c r="AB75" i="10"/>
  <c r="AB74" i="10"/>
  <c r="AB73" i="10"/>
  <c r="AB72" i="10"/>
  <c r="AB71" i="10"/>
  <c r="AB70" i="10"/>
  <c r="AB69" i="10"/>
  <c r="AB68" i="10"/>
  <c r="AB67" i="10"/>
  <c r="AB66" i="10"/>
  <c r="AB65" i="10"/>
  <c r="AB64" i="10"/>
  <c r="AB63" i="10"/>
  <c r="AB62" i="10"/>
  <c r="AB61" i="10"/>
  <c r="AB60" i="10"/>
  <c r="AB59" i="10"/>
  <c r="AB58" i="10"/>
  <c r="AB57" i="10"/>
  <c r="AB56" i="10"/>
  <c r="AB55" i="10"/>
  <c r="AB54" i="10"/>
  <c r="AB53" i="10"/>
  <c r="AB52" i="10"/>
  <c r="AB51" i="10"/>
  <c r="AB50" i="10"/>
  <c r="AB49" i="10"/>
  <c r="AB48" i="10"/>
  <c r="AB47" i="10"/>
  <c r="AB46" i="10"/>
  <c r="AB45" i="10"/>
  <c r="AB44" i="10"/>
  <c r="AB43" i="10"/>
  <c r="AB42" i="10"/>
  <c r="AB41" i="10"/>
  <c r="AB40" i="10"/>
  <c r="AB39" i="10"/>
  <c r="AB38" i="10"/>
  <c r="AB37" i="10"/>
  <c r="AB36" i="10"/>
  <c r="AB35" i="10"/>
  <c r="AB34" i="10"/>
  <c r="AB33" i="10"/>
  <c r="AB32" i="10"/>
  <c r="AB31" i="10"/>
  <c r="AB30" i="10"/>
  <c r="AB29" i="10"/>
  <c r="AB28" i="10"/>
  <c r="AB27" i="10"/>
  <c r="AB26" i="10"/>
  <c r="AB25" i="10"/>
  <c r="AB24" i="10"/>
  <c r="AB23" i="10"/>
  <c r="AB22" i="10"/>
  <c r="AB21" i="10"/>
  <c r="AB20" i="10"/>
  <c r="AB19" i="10"/>
  <c r="AB18" i="10"/>
  <c r="AB17" i="10"/>
  <c r="J13" i="6" l="1"/>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D103" i="10"/>
  <c r="D104" i="10"/>
  <c r="D105" i="10"/>
  <c r="D106" i="10"/>
  <c r="D107" i="10"/>
  <c r="D108" i="10"/>
  <c r="D109" i="10"/>
  <c r="D110" i="10"/>
  <c r="D111" i="10"/>
  <c r="D112" i="10"/>
  <c r="D113" i="10"/>
  <c r="D114" i="10"/>
  <c r="D115" i="10"/>
  <c r="D116" i="10"/>
  <c r="D117" i="10"/>
  <c r="D118" i="10"/>
  <c r="D119" i="10"/>
  <c r="D120" i="10"/>
  <c r="D121" i="10"/>
  <c r="D122" i="10"/>
  <c r="D123" i="10"/>
  <c r="D124" i="10"/>
  <c r="D125" i="10"/>
  <c r="D126" i="10"/>
  <c r="D127" i="10"/>
  <c r="D128" i="10"/>
  <c r="D129" i="10"/>
  <c r="D130" i="10"/>
  <c r="D131" i="10"/>
  <c r="D132" i="10"/>
  <c r="D133" i="10"/>
  <c r="D134" i="10"/>
  <c r="D135" i="10"/>
  <c r="D136" i="10"/>
  <c r="D137" i="10"/>
  <c r="D138" i="10"/>
  <c r="D139" i="10"/>
  <c r="D140" i="10"/>
  <c r="D141" i="10"/>
  <c r="D142" i="10"/>
  <c r="D143" i="10"/>
  <c r="D144" i="10"/>
  <c r="D145" i="10"/>
  <c r="D146" i="10"/>
  <c r="D147" i="10"/>
  <c r="D148" i="10"/>
  <c r="D149" i="10"/>
  <c r="D150" i="10"/>
  <c r="D151" i="10"/>
  <c r="D152" i="10"/>
  <c r="D153" i="10"/>
  <c r="D154" i="10"/>
  <c r="D155" i="10"/>
  <c r="D156" i="10"/>
  <c r="D157" i="10"/>
  <c r="D158" i="10"/>
  <c r="D159" i="10"/>
  <c r="D160" i="10"/>
  <c r="D161" i="10"/>
  <c r="D162" i="10"/>
  <c r="D163" i="10"/>
  <c r="D164" i="10"/>
  <c r="D165" i="10"/>
  <c r="D166" i="10"/>
  <c r="D167" i="10"/>
  <c r="D168" i="10"/>
  <c r="D169" i="10"/>
  <c r="D170" i="10"/>
  <c r="D171" i="10"/>
  <c r="D172" i="10"/>
  <c r="X172" i="10"/>
  <c r="T172" i="10"/>
  <c r="P172" i="10"/>
  <c r="L172" i="10"/>
  <c r="H172" i="10"/>
  <c r="X171" i="10"/>
  <c r="T171" i="10"/>
  <c r="P171" i="10"/>
  <c r="L171" i="10"/>
  <c r="H171" i="10"/>
  <c r="X170" i="10"/>
  <c r="T170" i="10"/>
  <c r="P170" i="10"/>
  <c r="L170" i="10"/>
  <c r="H170" i="10"/>
  <c r="X169" i="10"/>
  <c r="T169" i="10"/>
  <c r="P169" i="10"/>
  <c r="L169" i="10"/>
  <c r="H169" i="10"/>
  <c r="X168" i="10"/>
  <c r="T168" i="10"/>
  <c r="P168" i="10"/>
  <c r="L168" i="10"/>
  <c r="H168" i="10"/>
  <c r="X167" i="10"/>
  <c r="T167" i="10"/>
  <c r="P167" i="10"/>
  <c r="L167" i="10"/>
  <c r="H167" i="10"/>
  <c r="X166" i="10"/>
  <c r="T166" i="10"/>
  <c r="P166" i="10"/>
  <c r="L166" i="10"/>
  <c r="H166" i="10"/>
  <c r="X165" i="10"/>
  <c r="T165" i="10"/>
  <c r="P165" i="10"/>
  <c r="L165" i="10"/>
  <c r="H165" i="10"/>
  <c r="X164" i="10"/>
  <c r="T164" i="10"/>
  <c r="P164" i="10"/>
  <c r="L164" i="10"/>
  <c r="H164" i="10"/>
  <c r="X163" i="10"/>
  <c r="T163" i="10"/>
  <c r="P163" i="10"/>
  <c r="L163" i="10"/>
  <c r="H163" i="10"/>
  <c r="X162" i="10"/>
  <c r="T162" i="10"/>
  <c r="P162" i="10"/>
  <c r="L162" i="10"/>
  <c r="H162" i="10"/>
  <c r="X161" i="10"/>
  <c r="T161" i="10"/>
  <c r="P161" i="10"/>
  <c r="L161" i="10"/>
  <c r="H161" i="10"/>
  <c r="X160" i="10"/>
  <c r="T160" i="10"/>
  <c r="P160" i="10"/>
  <c r="L160" i="10"/>
  <c r="H160" i="10"/>
  <c r="X159" i="10"/>
  <c r="T159" i="10"/>
  <c r="P159" i="10"/>
  <c r="L159" i="10"/>
  <c r="H159" i="10"/>
  <c r="X158" i="10"/>
  <c r="T158" i="10"/>
  <c r="P158" i="10"/>
  <c r="L158" i="10"/>
  <c r="H158" i="10"/>
  <c r="X157" i="10"/>
  <c r="T157" i="10"/>
  <c r="P157" i="10"/>
  <c r="L157" i="10"/>
  <c r="H157" i="10"/>
  <c r="X156" i="10"/>
  <c r="T156" i="10"/>
  <c r="P156" i="10"/>
  <c r="L156" i="10"/>
  <c r="H156" i="10"/>
  <c r="X155" i="10"/>
  <c r="T155" i="10"/>
  <c r="P155" i="10"/>
  <c r="L155" i="10"/>
  <c r="H155" i="10"/>
  <c r="X154" i="10"/>
  <c r="T154" i="10"/>
  <c r="P154" i="10"/>
  <c r="L154" i="10"/>
  <c r="H154" i="10"/>
  <c r="X153" i="10"/>
  <c r="T153" i="10"/>
  <c r="P153" i="10"/>
  <c r="L153" i="10"/>
  <c r="H153" i="10"/>
  <c r="X152" i="10"/>
  <c r="T152" i="10"/>
  <c r="P152" i="10"/>
  <c r="L152" i="10"/>
  <c r="H152" i="10"/>
  <c r="X151" i="10"/>
  <c r="T151" i="10"/>
  <c r="P151" i="10"/>
  <c r="L151" i="10"/>
  <c r="H151" i="10"/>
  <c r="X150" i="10"/>
  <c r="T150" i="10"/>
  <c r="P150" i="10"/>
  <c r="L150" i="10"/>
  <c r="H150" i="10"/>
  <c r="X149" i="10"/>
  <c r="T149" i="10"/>
  <c r="P149" i="10"/>
  <c r="L149" i="10"/>
  <c r="H149" i="10"/>
  <c r="X148" i="10"/>
  <c r="T148" i="10"/>
  <c r="P148" i="10"/>
  <c r="L148" i="10"/>
  <c r="H148" i="10"/>
  <c r="X147" i="10"/>
  <c r="T147" i="10"/>
  <c r="P147" i="10"/>
  <c r="L147" i="10"/>
  <c r="H147" i="10"/>
  <c r="X146" i="10"/>
  <c r="T146" i="10"/>
  <c r="P146" i="10"/>
  <c r="L146" i="10"/>
  <c r="H146" i="10"/>
  <c r="X145" i="10"/>
  <c r="T145" i="10"/>
  <c r="P145" i="10"/>
  <c r="L145" i="10"/>
  <c r="H145" i="10"/>
  <c r="X144" i="10"/>
  <c r="T144" i="10"/>
  <c r="P144" i="10"/>
  <c r="L144" i="10"/>
  <c r="H144" i="10"/>
  <c r="X143" i="10"/>
  <c r="T143" i="10"/>
  <c r="P143" i="10"/>
  <c r="L143" i="10"/>
  <c r="H143" i="10"/>
  <c r="X142" i="10"/>
  <c r="T142" i="10"/>
  <c r="P142" i="10"/>
  <c r="L142" i="10"/>
  <c r="H142" i="10"/>
  <c r="X141" i="10"/>
  <c r="T141" i="10"/>
  <c r="P141" i="10"/>
  <c r="L141" i="10"/>
  <c r="H141" i="10"/>
  <c r="X140" i="10"/>
  <c r="T140" i="10"/>
  <c r="P140" i="10"/>
  <c r="L140" i="10"/>
  <c r="H140" i="10"/>
  <c r="X139" i="10"/>
  <c r="T139" i="10"/>
  <c r="P139" i="10"/>
  <c r="L139" i="10"/>
  <c r="H139" i="10"/>
  <c r="X138" i="10"/>
  <c r="T138" i="10"/>
  <c r="P138" i="10"/>
  <c r="L138" i="10"/>
  <c r="H138" i="10"/>
  <c r="X137" i="10"/>
  <c r="T137" i="10"/>
  <c r="P137" i="10"/>
  <c r="L137" i="10"/>
  <c r="H137" i="10"/>
  <c r="X136" i="10"/>
  <c r="T136" i="10"/>
  <c r="P136" i="10"/>
  <c r="L136" i="10"/>
  <c r="H136" i="10"/>
  <c r="X135" i="10"/>
  <c r="T135" i="10"/>
  <c r="P135" i="10"/>
  <c r="L135" i="10"/>
  <c r="H135" i="10"/>
  <c r="X134" i="10"/>
  <c r="T134" i="10"/>
  <c r="P134" i="10"/>
  <c r="L134" i="10"/>
  <c r="H134" i="10"/>
  <c r="X133" i="10"/>
  <c r="T133" i="10"/>
  <c r="P133" i="10"/>
  <c r="L133" i="10"/>
  <c r="H133" i="10"/>
  <c r="X132" i="10"/>
  <c r="T132" i="10"/>
  <c r="P132" i="10"/>
  <c r="L132" i="10"/>
  <c r="H132" i="10"/>
  <c r="X131" i="10"/>
  <c r="T131" i="10"/>
  <c r="P131" i="10"/>
  <c r="L131" i="10"/>
  <c r="H131" i="10"/>
  <c r="X130" i="10"/>
  <c r="T130" i="10"/>
  <c r="P130" i="10"/>
  <c r="L130" i="10"/>
  <c r="H130" i="10"/>
  <c r="X129" i="10"/>
  <c r="T129" i="10"/>
  <c r="P129" i="10"/>
  <c r="L129" i="10"/>
  <c r="H129" i="10"/>
  <c r="X128" i="10"/>
  <c r="T128" i="10"/>
  <c r="P128" i="10"/>
  <c r="L128" i="10"/>
  <c r="H128" i="10"/>
  <c r="X127" i="10"/>
  <c r="T127" i="10"/>
  <c r="P127" i="10"/>
  <c r="L127" i="10"/>
  <c r="H127" i="10"/>
  <c r="X126" i="10"/>
  <c r="T126" i="10"/>
  <c r="P126" i="10"/>
  <c r="L126" i="10"/>
  <c r="H126" i="10"/>
  <c r="X125" i="10"/>
  <c r="T125" i="10"/>
  <c r="P125" i="10"/>
  <c r="L125" i="10"/>
  <c r="H125" i="10"/>
  <c r="X124" i="10"/>
  <c r="T124" i="10"/>
  <c r="P124" i="10"/>
  <c r="L124" i="10"/>
  <c r="H124" i="10"/>
  <c r="X123" i="10"/>
  <c r="T123" i="10"/>
  <c r="P123" i="10"/>
  <c r="L123" i="10"/>
  <c r="H123" i="10"/>
  <c r="X122" i="10"/>
  <c r="T122" i="10"/>
  <c r="P122" i="10"/>
  <c r="L122" i="10"/>
  <c r="H122" i="10"/>
  <c r="X121" i="10"/>
  <c r="T121" i="10"/>
  <c r="P121" i="10"/>
  <c r="L121" i="10"/>
  <c r="H121" i="10"/>
  <c r="X120" i="10"/>
  <c r="T120" i="10"/>
  <c r="P120" i="10"/>
  <c r="L120" i="10"/>
  <c r="H120" i="10"/>
  <c r="X119" i="10"/>
  <c r="T119" i="10"/>
  <c r="P119" i="10"/>
  <c r="L119" i="10"/>
  <c r="H119" i="10"/>
  <c r="X118" i="10"/>
  <c r="T118" i="10"/>
  <c r="P118" i="10"/>
  <c r="L118" i="10"/>
  <c r="H118" i="10"/>
  <c r="X117" i="10"/>
  <c r="T117" i="10"/>
  <c r="P117" i="10"/>
  <c r="L117" i="10"/>
  <c r="H117" i="10"/>
  <c r="X116" i="10"/>
  <c r="T116" i="10"/>
  <c r="P116" i="10"/>
  <c r="L116" i="10"/>
  <c r="H116" i="10"/>
  <c r="X115" i="10"/>
  <c r="T115" i="10"/>
  <c r="P115" i="10"/>
  <c r="L115" i="10"/>
  <c r="H115" i="10"/>
  <c r="X114" i="10"/>
  <c r="T114" i="10"/>
  <c r="P114" i="10"/>
  <c r="L114" i="10"/>
  <c r="H114" i="10"/>
  <c r="X113" i="10"/>
  <c r="T113" i="10"/>
  <c r="P113" i="10"/>
  <c r="L113" i="10"/>
  <c r="H113" i="10"/>
  <c r="X112" i="10"/>
  <c r="T112" i="10"/>
  <c r="P112" i="10"/>
  <c r="L112" i="10"/>
  <c r="H112" i="10"/>
  <c r="X111" i="10"/>
  <c r="T111" i="10"/>
  <c r="P111" i="10"/>
  <c r="L111" i="10"/>
  <c r="H111" i="10"/>
  <c r="X110" i="10"/>
  <c r="T110" i="10"/>
  <c r="P110" i="10"/>
  <c r="L110" i="10"/>
  <c r="H110" i="10"/>
  <c r="X109" i="10"/>
  <c r="T109" i="10"/>
  <c r="P109" i="10"/>
  <c r="L109" i="10"/>
  <c r="H109" i="10"/>
  <c r="X108" i="10"/>
  <c r="T108" i="10"/>
  <c r="P108" i="10"/>
  <c r="L108" i="10"/>
  <c r="H108" i="10"/>
  <c r="X107" i="10"/>
  <c r="T107" i="10"/>
  <c r="P107" i="10"/>
  <c r="L107" i="10"/>
  <c r="H107" i="10"/>
  <c r="X106" i="10"/>
  <c r="T106" i="10"/>
  <c r="P106" i="10"/>
  <c r="L106" i="10"/>
  <c r="H106" i="10"/>
  <c r="X105" i="10"/>
  <c r="T105" i="10"/>
  <c r="P105" i="10"/>
  <c r="L105" i="10"/>
  <c r="H105" i="10"/>
  <c r="X104" i="10"/>
  <c r="T104" i="10"/>
  <c r="P104" i="10"/>
  <c r="L104" i="10"/>
  <c r="H104" i="10"/>
  <c r="X103" i="10"/>
  <c r="T103" i="10"/>
  <c r="P103" i="10"/>
  <c r="L103" i="10"/>
  <c r="H103" i="10"/>
  <c r="X102" i="10"/>
  <c r="T102" i="10"/>
  <c r="P102" i="10"/>
  <c r="L102" i="10"/>
  <c r="H102" i="10"/>
  <c r="X101" i="10"/>
  <c r="T101" i="10"/>
  <c r="P101" i="10"/>
  <c r="L101" i="10"/>
  <c r="H101" i="10"/>
  <c r="X100" i="10"/>
  <c r="T100" i="10"/>
  <c r="P100" i="10"/>
  <c r="L100" i="10"/>
  <c r="H100" i="10"/>
  <c r="X99" i="10"/>
  <c r="T99" i="10"/>
  <c r="P99" i="10"/>
  <c r="L99" i="10"/>
  <c r="H99" i="10"/>
  <c r="X98" i="10"/>
  <c r="T98" i="10"/>
  <c r="P98" i="10"/>
  <c r="L98" i="10"/>
  <c r="H98" i="10"/>
  <c r="X97" i="10"/>
  <c r="T97" i="10"/>
  <c r="P97" i="10"/>
  <c r="L97" i="10"/>
  <c r="H97" i="10"/>
  <c r="X96" i="10"/>
  <c r="T96" i="10"/>
  <c r="P96" i="10"/>
  <c r="L96" i="10"/>
  <c r="H96" i="10"/>
  <c r="X95" i="10"/>
  <c r="T95" i="10"/>
  <c r="P95" i="10"/>
  <c r="L95" i="10"/>
  <c r="H95" i="10"/>
  <c r="X94" i="10"/>
  <c r="T94" i="10"/>
  <c r="P94" i="10"/>
  <c r="L94" i="10"/>
  <c r="H94" i="10"/>
  <c r="X93" i="10"/>
  <c r="T93" i="10"/>
  <c r="P93" i="10"/>
  <c r="L93" i="10"/>
  <c r="H93" i="10"/>
  <c r="X92" i="10"/>
  <c r="T92" i="10"/>
  <c r="P92" i="10"/>
  <c r="L92" i="10"/>
  <c r="H92" i="10"/>
  <c r="X91" i="10"/>
  <c r="T91" i="10"/>
  <c r="P91" i="10"/>
  <c r="L91" i="10"/>
  <c r="H91" i="10"/>
  <c r="X90" i="10"/>
  <c r="T90" i="10"/>
  <c r="P90" i="10"/>
  <c r="L90" i="10"/>
  <c r="H90" i="10"/>
  <c r="X89" i="10"/>
  <c r="T89" i="10"/>
  <c r="P89" i="10"/>
  <c r="L89" i="10"/>
  <c r="H89" i="10"/>
  <c r="X88" i="10"/>
  <c r="T88" i="10"/>
  <c r="P88" i="10"/>
  <c r="L88" i="10"/>
  <c r="H88" i="10"/>
  <c r="X87" i="10"/>
  <c r="T87" i="10"/>
  <c r="P87" i="10"/>
  <c r="L87" i="10"/>
  <c r="H87" i="10"/>
  <c r="X86" i="10"/>
  <c r="T86" i="10"/>
  <c r="P86" i="10"/>
  <c r="L86" i="10"/>
  <c r="H86" i="10"/>
  <c r="X85" i="10"/>
  <c r="T85" i="10"/>
  <c r="P85" i="10"/>
  <c r="L85" i="10"/>
  <c r="H85" i="10"/>
  <c r="X84" i="10"/>
  <c r="T84" i="10"/>
  <c r="P84" i="10"/>
  <c r="L84" i="10"/>
  <c r="H84" i="10"/>
  <c r="X83" i="10"/>
  <c r="T83" i="10"/>
  <c r="P83" i="10"/>
  <c r="L83" i="10"/>
  <c r="H83" i="10"/>
  <c r="X82" i="10"/>
  <c r="T82" i="10"/>
  <c r="P82" i="10"/>
  <c r="L82" i="10"/>
  <c r="H82" i="10"/>
  <c r="X81" i="10"/>
  <c r="T81" i="10"/>
  <c r="P81" i="10"/>
  <c r="L81" i="10"/>
  <c r="H81" i="10"/>
  <c r="X80" i="10"/>
  <c r="T80" i="10"/>
  <c r="P80" i="10"/>
  <c r="L80" i="10"/>
  <c r="H80" i="10"/>
  <c r="X79" i="10"/>
  <c r="T79" i="10"/>
  <c r="P79" i="10"/>
  <c r="L79" i="10"/>
  <c r="H79" i="10"/>
  <c r="X78" i="10"/>
  <c r="T78" i="10"/>
  <c r="P78" i="10"/>
  <c r="L78" i="10"/>
  <c r="H78" i="10"/>
  <c r="X77" i="10"/>
  <c r="T77" i="10"/>
  <c r="P77" i="10"/>
  <c r="L77" i="10"/>
  <c r="H77" i="10"/>
  <c r="X76" i="10"/>
  <c r="T76" i="10"/>
  <c r="P76" i="10"/>
  <c r="L76" i="10"/>
  <c r="H76" i="10"/>
  <c r="X75" i="10"/>
  <c r="T75" i="10"/>
  <c r="P75" i="10"/>
  <c r="L75" i="10"/>
  <c r="H75" i="10"/>
  <c r="X74" i="10"/>
  <c r="T74" i="10"/>
  <c r="P74" i="10"/>
  <c r="L74" i="10"/>
  <c r="H74" i="10"/>
  <c r="X73" i="10"/>
  <c r="T73" i="10"/>
  <c r="P73" i="10"/>
  <c r="L73" i="10"/>
  <c r="H73" i="10"/>
  <c r="X72" i="10"/>
  <c r="T72" i="10"/>
  <c r="P72" i="10"/>
  <c r="L72" i="10"/>
  <c r="H72" i="10"/>
  <c r="X71" i="10"/>
  <c r="T71" i="10"/>
  <c r="P71" i="10"/>
  <c r="L71" i="10"/>
  <c r="H71" i="10"/>
  <c r="X70" i="10"/>
  <c r="T70" i="10"/>
  <c r="P70" i="10"/>
  <c r="L70" i="10"/>
  <c r="H70" i="10"/>
  <c r="X69" i="10"/>
  <c r="T69" i="10"/>
  <c r="P69" i="10"/>
  <c r="L69" i="10"/>
  <c r="H69" i="10"/>
  <c r="X68" i="10"/>
  <c r="T68" i="10"/>
  <c r="P68" i="10"/>
  <c r="L68" i="10"/>
  <c r="H68" i="10"/>
  <c r="X67" i="10"/>
  <c r="T67" i="10"/>
  <c r="P67" i="10"/>
  <c r="L67" i="10"/>
  <c r="H67" i="10"/>
  <c r="X66" i="10"/>
  <c r="T66" i="10"/>
  <c r="P66" i="10"/>
  <c r="L66" i="10"/>
  <c r="H66" i="10"/>
  <c r="X65" i="10"/>
  <c r="T65" i="10"/>
  <c r="P65" i="10"/>
  <c r="L65" i="10"/>
  <c r="H65" i="10"/>
  <c r="X64" i="10"/>
  <c r="T64" i="10"/>
  <c r="P64" i="10"/>
  <c r="L64" i="10"/>
  <c r="H64" i="10"/>
  <c r="X63" i="10"/>
  <c r="T63" i="10"/>
  <c r="P63" i="10"/>
  <c r="L63" i="10"/>
  <c r="H63" i="10"/>
  <c r="X62" i="10"/>
  <c r="T62" i="10"/>
  <c r="P62" i="10"/>
  <c r="L62" i="10"/>
  <c r="H62" i="10"/>
  <c r="X61" i="10"/>
  <c r="T61" i="10"/>
  <c r="P61" i="10"/>
  <c r="L61" i="10"/>
  <c r="H61" i="10"/>
  <c r="X60" i="10"/>
  <c r="T60" i="10"/>
  <c r="P60" i="10"/>
  <c r="L60" i="10"/>
  <c r="H60" i="10"/>
  <c r="X59" i="10"/>
  <c r="T59" i="10"/>
  <c r="P59" i="10"/>
  <c r="L59" i="10"/>
  <c r="H59" i="10"/>
  <c r="X58" i="10"/>
  <c r="T58" i="10"/>
  <c r="P58" i="10"/>
  <c r="L58" i="10"/>
  <c r="H58" i="10"/>
  <c r="X57" i="10"/>
  <c r="T57" i="10"/>
  <c r="P57" i="10"/>
  <c r="L57" i="10"/>
  <c r="H57" i="10"/>
  <c r="X56" i="10"/>
  <c r="T56" i="10"/>
  <c r="P56" i="10"/>
  <c r="L56" i="10"/>
  <c r="H56" i="10"/>
  <c r="X55" i="10"/>
  <c r="T55" i="10"/>
  <c r="P55" i="10"/>
  <c r="L55" i="10"/>
  <c r="H55" i="10"/>
  <c r="X54" i="10"/>
  <c r="T54" i="10"/>
  <c r="P54" i="10"/>
  <c r="L54" i="10"/>
  <c r="H54" i="10"/>
  <c r="X53" i="10"/>
  <c r="T53" i="10"/>
  <c r="P53" i="10"/>
  <c r="L53" i="10"/>
  <c r="H53" i="10"/>
  <c r="X52" i="10"/>
  <c r="T52" i="10"/>
  <c r="P52" i="10"/>
  <c r="L52" i="10"/>
  <c r="H52" i="10"/>
  <c r="X51" i="10"/>
  <c r="T51" i="10"/>
  <c r="P51" i="10"/>
  <c r="L51" i="10"/>
  <c r="H51" i="10"/>
  <c r="X50" i="10"/>
  <c r="T50" i="10"/>
  <c r="P50" i="10"/>
  <c r="L50" i="10"/>
  <c r="H50" i="10"/>
  <c r="X49" i="10"/>
  <c r="T49" i="10"/>
  <c r="P49" i="10"/>
  <c r="L49" i="10"/>
  <c r="H49" i="10"/>
  <c r="X48" i="10"/>
  <c r="T48" i="10"/>
  <c r="P48" i="10"/>
  <c r="L48" i="10"/>
  <c r="H48" i="10"/>
  <c r="X47" i="10"/>
  <c r="T47" i="10"/>
  <c r="P47" i="10"/>
  <c r="L47" i="10"/>
  <c r="H47" i="10"/>
  <c r="X46" i="10"/>
  <c r="T46" i="10"/>
  <c r="P46" i="10"/>
  <c r="L46" i="10"/>
  <c r="H46" i="10"/>
  <c r="X45" i="10"/>
  <c r="T45" i="10"/>
  <c r="P45" i="10"/>
  <c r="L45" i="10"/>
  <c r="H45" i="10"/>
  <c r="X44" i="10"/>
  <c r="T44" i="10"/>
  <c r="P44" i="10"/>
  <c r="L44" i="10"/>
  <c r="H44" i="10"/>
  <c r="X43" i="10"/>
  <c r="T43" i="10"/>
  <c r="P43" i="10"/>
  <c r="L43" i="10"/>
  <c r="H43" i="10"/>
  <c r="X42" i="10"/>
  <c r="T42" i="10"/>
  <c r="P42" i="10"/>
  <c r="L42" i="10"/>
  <c r="H42" i="10"/>
  <c r="X41" i="10"/>
  <c r="T41" i="10"/>
  <c r="P41" i="10"/>
  <c r="L41" i="10"/>
  <c r="H41" i="10"/>
  <c r="X40" i="10"/>
  <c r="T40" i="10"/>
  <c r="P40" i="10"/>
  <c r="L40" i="10"/>
  <c r="H40" i="10"/>
  <c r="X39" i="10"/>
  <c r="T39" i="10"/>
  <c r="P39" i="10"/>
  <c r="L39" i="10"/>
  <c r="H39" i="10"/>
  <c r="X38" i="10"/>
  <c r="T38" i="10"/>
  <c r="P38" i="10"/>
  <c r="L38" i="10"/>
  <c r="H38" i="10"/>
  <c r="X37" i="10"/>
  <c r="T37" i="10"/>
  <c r="P37" i="10"/>
  <c r="L37" i="10"/>
  <c r="H37" i="10"/>
  <c r="X36" i="10"/>
  <c r="T36" i="10"/>
  <c r="P36" i="10"/>
  <c r="L36" i="10"/>
  <c r="H36" i="10"/>
  <c r="X35" i="10"/>
  <c r="T35" i="10"/>
  <c r="P35" i="10"/>
  <c r="L35" i="10"/>
  <c r="H35" i="10"/>
  <c r="X34" i="10"/>
  <c r="T34" i="10"/>
  <c r="P34" i="10"/>
  <c r="L34" i="10"/>
  <c r="H34" i="10"/>
  <c r="X33" i="10"/>
  <c r="T33" i="10"/>
  <c r="P33" i="10"/>
  <c r="L33" i="10"/>
  <c r="H33" i="10"/>
  <c r="X32" i="10"/>
  <c r="T32" i="10"/>
  <c r="P32" i="10"/>
  <c r="L32" i="10"/>
  <c r="H32" i="10"/>
  <c r="X31" i="10"/>
  <c r="T31" i="10"/>
  <c r="P31" i="10"/>
  <c r="L31" i="10"/>
  <c r="H31" i="10"/>
  <c r="X30" i="10"/>
  <c r="T30" i="10"/>
  <c r="P30" i="10"/>
  <c r="L30" i="10"/>
  <c r="H30" i="10"/>
  <c r="X29" i="10"/>
  <c r="T29" i="10"/>
  <c r="P29" i="10"/>
  <c r="L29" i="10"/>
  <c r="H29" i="10"/>
  <c r="X28" i="10"/>
  <c r="T28" i="10"/>
  <c r="P28" i="10"/>
  <c r="L28" i="10"/>
  <c r="H28" i="10"/>
  <c r="X27" i="10"/>
  <c r="T27" i="10"/>
  <c r="P27" i="10"/>
  <c r="L27" i="10"/>
  <c r="H27" i="10"/>
  <c r="X26" i="10"/>
  <c r="T26" i="10"/>
  <c r="P26" i="10"/>
  <c r="L26" i="10"/>
  <c r="H26" i="10"/>
  <c r="X25" i="10"/>
  <c r="T25" i="10"/>
  <c r="P25" i="10"/>
  <c r="L25" i="10"/>
  <c r="H25" i="10"/>
  <c r="X24" i="10"/>
  <c r="T24" i="10"/>
  <c r="P24" i="10"/>
  <c r="L24" i="10"/>
  <c r="H24" i="10"/>
  <c r="X23" i="10"/>
  <c r="T23" i="10"/>
  <c r="P23" i="10"/>
  <c r="L23" i="10"/>
  <c r="H23" i="10"/>
  <c r="X22" i="10"/>
  <c r="T22" i="10"/>
  <c r="P22" i="10"/>
  <c r="L22" i="10"/>
  <c r="H22" i="10"/>
  <c r="X21" i="10"/>
  <c r="T21" i="10"/>
  <c r="P21" i="10"/>
  <c r="L21" i="10"/>
  <c r="H21" i="10"/>
  <c r="X20" i="10"/>
  <c r="T20" i="10"/>
  <c r="P20" i="10"/>
  <c r="L20" i="10"/>
  <c r="H20" i="10"/>
  <c r="X19" i="10"/>
  <c r="T19" i="10"/>
  <c r="P19" i="10"/>
  <c r="L19" i="10"/>
  <c r="H19" i="10"/>
  <c r="X18" i="10"/>
  <c r="T18" i="10"/>
  <c r="P18" i="10"/>
  <c r="L18" i="10"/>
  <c r="H18" i="10"/>
  <c r="X17" i="10"/>
  <c r="T17" i="10"/>
  <c r="P17" i="10"/>
  <c r="L17" i="10"/>
  <c r="H17" i="10"/>
  <c r="F388" i="10" l="1"/>
  <c r="F386" i="10"/>
  <c r="D7" i="10" s="1"/>
  <c r="C19" i="13" s="1"/>
  <c r="G19" i="13" s="1"/>
  <c r="H19" i="13" s="1"/>
  <c r="N386" i="10"/>
  <c r="D9" i="10" s="1"/>
  <c r="C21" i="13" s="1"/>
  <c r="G21" i="13" s="1"/>
  <c r="H21" i="13" s="1"/>
  <c r="N388" i="10"/>
  <c r="V386" i="10"/>
  <c r="D11" i="10" s="1"/>
  <c r="V388" i="10"/>
  <c r="B388" i="10"/>
  <c r="B386" i="10"/>
  <c r="D6" i="10" s="1"/>
  <c r="C28" i="13" s="1"/>
  <c r="G28" i="13" s="1"/>
  <c r="H28" i="13" s="1"/>
  <c r="K9" i="6"/>
  <c r="J388" i="10"/>
  <c r="J386" i="10"/>
  <c r="D8" i="10" s="1"/>
  <c r="R388" i="10"/>
  <c r="R386" i="10"/>
  <c r="D10" i="10" s="1"/>
  <c r="C22" i="13" s="1"/>
  <c r="G22" i="13" s="1"/>
  <c r="H22" i="13" s="1"/>
  <c r="F11" i="6"/>
  <c r="G15" i="7"/>
  <c r="M30" i="5" s="1"/>
  <c r="H15" i="7"/>
  <c r="N30" i="5" s="1"/>
  <c r="O30" i="5"/>
  <c r="F15" i="7"/>
  <c r="L30" i="5" s="1"/>
  <c r="F9" i="7"/>
  <c r="F7" i="7"/>
  <c r="F13" i="7"/>
  <c r="F30" i="8" s="1"/>
  <c r="F14" i="7" l="1"/>
  <c r="F23" i="7" s="1"/>
  <c r="G13" i="7"/>
  <c r="C20" i="13"/>
  <c r="G20" i="13" s="1"/>
  <c r="H20" i="13" s="1"/>
  <c r="C23" i="13"/>
  <c r="G23" i="13" s="1"/>
  <c r="H23" i="13" s="1"/>
  <c r="F17" i="6"/>
  <c r="F19" i="6" s="1"/>
  <c r="F10" i="6"/>
  <c r="F37" i="8"/>
  <c r="G75" i="7"/>
  <c r="I33" i="7" s="1"/>
  <c r="H29" i="7"/>
  <c r="J102" i="4"/>
  <c r="G18" i="4"/>
  <c r="F18" i="4"/>
  <c r="I56" i="7" l="1"/>
  <c r="H27" i="13"/>
  <c r="D11" i="13" s="1"/>
  <c r="D13" i="13" s="1"/>
  <c r="M10" i="13" s="1"/>
  <c r="F16" i="7"/>
  <c r="G7" i="7"/>
  <c r="I32" i="7"/>
  <c r="I44" i="7"/>
  <c r="I68" i="7"/>
  <c r="I42" i="7"/>
  <c r="I41" i="7"/>
  <c r="I64" i="7"/>
  <c r="I52" i="7"/>
  <c r="I40" i="7"/>
  <c r="I63" i="7"/>
  <c r="I51" i="7"/>
  <c r="I39" i="7"/>
  <c r="I55" i="7"/>
  <c r="I43" i="7"/>
  <c r="I66" i="7"/>
  <c r="I65" i="7"/>
  <c r="I53" i="7"/>
  <c r="I29" i="7"/>
  <c r="I28" i="7"/>
  <c r="I62" i="7"/>
  <c r="I50" i="7"/>
  <c r="I38" i="7"/>
  <c r="I73" i="7"/>
  <c r="I61" i="7"/>
  <c r="I49" i="7"/>
  <c r="I37" i="7"/>
  <c r="I67" i="7"/>
  <c r="I31" i="7"/>
  <c r="I30" i="7"/>
  <c r="I72" i="7"/>
  <c r="I48" i="7"/>
  <c r="I36" i="7"/>
  <c r="I71" i="7"/>
  <c r="I59" i="7"/>
  <c r="I35" i="7"/>
  <c r="I70" i="7"/>
  <c r="I58" i="7"/>
  <c r="I46" i="7"/>
  <c r="I34" i="7"/>
  <c r="I54" i="7"/>
  <c r="I60" i="7"/>
  <c r="I47" i="7"/>
  <c r="I69" i="7"/>
  <c r="I57" i="7"/>
  <c r="I45" i="7"/>
  <c r="J74" i="7" l="1"/>
  <c r="F22" i="7" s="1"/>
  <c r="G14" i="7"/>
  <c r="G23" i="7" s="1"/>
  <c r="N10" i="13"/>
  <c r="G30" i="8"/>
  <c r="F21" i="7" l="1"/>
  <c r="F18" i="7" s="1"/>
  <c r="G21" i="7"/>
  <c r="G16" i="7"/>
  <c r="M34" i="5" s="1"/>
  <c r="H7" i="7"/>
  <c r="H30" i="8"/>
  <c r="L60" i="4"/>
  <c r="H14" i="7" l="1"/>
  <c r="H23" i="7" s="1"/>
  <c r="H21" i="7"/>
  <c r="I21" i="7" s="1"/>
  <c r="J21" i="7" s="1"/>
  <c r="G18" i="7"/>
  <c r="L34" i="5"/>
  <c r="J30" i="8"/>
  <c r="I30" i="8"/>
  <c r="H18" i="7" l="1"/>
  <c r="H16" i="7"/>
  <c r="N34" i="5" s="1"/>
  <c r="I7" i="7"/>
  <c r="M60" i="4"/>
  <c r="I14" i="7" l="1"/>
  <c r="I23" i="7" s="1"/>
  <c r="J23" i="7" s="1"/>
  <c r="I18" i="7"/>
  <c r="I16" i="7" l="1"/>
  <c r="O34" i="5" s="1"/>
  <c r="J7" i="7"/>
  <c r="N60" i="4"/>
  <c r="J14" i="7" l="1"/>
  <c r="J25" i="7" s="1"/>
  <c r="J18" i="7"/>
  <c r="O60" i="4"/>
  <c r="J15" i="7" l="1"/>
  <c r="P30" i="5" s="1"/>
  <c r="P60" i="4"/>
  <c r="J16" i="7" l="1"/>
  <c r="P34" i="5" s="1"/>
  <c r="L20" i="5"/>
  <c r="L40" i="6"/>
  <c r="M40" i="6" s="1"/>
  <c r="N40" i="6" s="1"/>
  <c r="O40" i="6" s="1"/>
  <c r="P40" i="6" s="1"/>
  <c r="N20" i="5" l="1"/>
  <c r="P20" i="5" s="1"/>
  <c r="M20" i="5"/>
  <c r="O20" i="5" s="1"/>
  <c r="F35" i="6"/>
  <c r="F33" i="6" s="1"/>
  <c r="F36" i="6" s="1"/>
  <c r="F40" i="6"/>
  <c r="F42" i="6" s="1"/>
  <c r="H35" i="6"/>
  <c r="I35" i="6"/>
  <c r="J35" i="6"/>
  <c r="I32" i="6" l="1"/>
  <c r="L32" i="6"/>
  <c r="L33" i="6" s="1"/>
  <c r="J32" i="6"/>
  <c r="J33" i="6" s="1"/>
  <c r="I33" i="6"/>
  <c r="H32" i="6"/>
  <c r="G11" i="6"/>
  <c r="H11" i="6"/>
  <c r="I11" i="6"/>
  <c r="J11" i="6"/>
  <c r="L35" i="6" l="1"/>
  <c r="M32" i="6" s="1"/>
  <c r="H33" i="6"/>
  <c r="J36" i="6"/>
  <c r="L7" i="6"/>
  <c r="H7" i="6"/>
  <c r="I7" i="6"/>
  <c r="J7" i="6"/>
  <c r="J10" i="6" s="1"/>
  <c r="J77" i="5"/>
  <c r="I77" i="5"/>
  <c r="H77" i="5"/>
  <c r="G77" i="5"/>
  <c r="F77" i="5"/>
  <c r="F73" i="5"/>
  <c r="G71" i="5"/>
  <c r="H71" i="5"/>
  <c r="I71" i="5"/>
  <c r="J71" i="5"/>
  <c r="F71" i="5"/>
  <c r="G69" i="5"/>
  <c r="H69" i="5"/>
  <c r="I69" i="5"/>
  <c r="J69" i="5"/>
  <c r="J70" i="5" s="1"/>
  <c r="K70" i="5" s="1"/>
  <c r="F69" i="5"/>
  <c r="L19" i="5" l="1"/>
  <c r="I36" i="6"/>
  <c r="L36" i="6"/>
  <c r="M33" i="6"/>
  <c r="M35" i="6" s="1"/>
  <c r="N32" i="6" s="1"/>
  <c r="M36" i="6"/>
  <c r="L42" i="6"/>
  <c r="L39" i="6" s="1"/>
  <c r="I10" i="6"/>
  <c r="I14" i="6"/>
  <c r="J14" i="6"/>
  <c r="H10" i="6"/>
  <c r="H14" i="6"/>
  <c r="J15" i="6"/>
  <c r="K14" i="6" l="1"/>
  <c r="L8" i="6" s="1"/>
  <c r="N33" i="6"/>
  <c r="N36" i="6" s="1"/>
  <c r="L45" i="5"/>
  <c r="M45" i="5" s="1"/>
  <c r="N45" i="5" s="1"/>
  <c r="O45" i="5" s="1"/>
  <c r="P45" i="5" s="1"/>
  <c r="L37" i="5"/>
  <c r="M37" i="5" s="1"/>
  <c r="N37" i="5" s="1"/>
  <c r="O37" i="5" s="1"/>
  <c r="P37" i="5" s="1"/>
  <c r="L36" i="5"/>
  <c r="M36" i="5" s="1"/>
  <c r="N36" i="5" s="1"/>
  <c r="O36" i="5" s="1"/>
  <c r="P36" i="5" s="1"/>
  <c r="L35" i="5"/>
  <c r="L29" i="5"/>
  <c r="M29" i="5" s="1"/>
  <c r="N29" i="5" s="1"/>
  <c r="O29" i="5" s="1"/>
  <c r="P29" i="5" s="1"/>
  <c r="L21" i="5"/>
  <c r="M21" i="5" s="1"/>
  <c r="N21" i="5" s="1"/>
  <c r="O21" i="5" s="1"/>
  <c r="P21" i="5" s="1"/>
  <c r="L11" i="5"/>
  <c r="N11" i="5" s="1"/>
  <c r="P11" i="5" s="1"/>
  <c r="J46" i="5"/>
  <c r="I46" i="5"/>
  <c r="H46" i="5"/>
  <c r="G46" i="5"/>
  <c r="F46" i="5"/>
  <c r="F35" i="5"/>
  <c r="F38" i="5" s="1"/>
  <c r="J38" i="5"/>
  <c r="I38" i="5"/>
  <c r="H38" i="5"/>
  <c r="G38" i="5"/>
  <c r="J31" i="5"/>
  <c r="I31" i="5"/>
  <c r="H31" i="5"/>
  <c r="G31" i="5"/>
  <c r="F31" i="5"/>
  <c r="J22" i="5"/>
  <c r="I22" i="5"/>
  <c r="H22" i="5"/>
  <c r="G22" i="5"/>
  <c r="F22" i="5"/>
  <c r="J15" i="5"/>
  <c r="I15" i="5"/>
  <c r="H15" i="5"/>
  <c r="G15" i="5"/>
  <c r="F15" i="5"/>
  <c r="L42" i="4"/>
  <c r="M42" i="4" s="1"/>
  <c r="N42" i="4" s="1"/>
  <c r="O42" i="4" s="1"/>
  <c r="P42" i="4" s="1"/>
  <c r="N35" i="6" l="1"/>
  <c r="O32" i="6" s="1"/>
  <c r="H63" i="5"/>
  <c r="H64" i="5"/>
  <c r="I63" i="5"/>
  <c r="I64" i="5"/>
  <c r="O33" i="6"/>
  <c r="O35" i="6" s="1"/>
  <c r="P32" i="6" s="1"/>
  <c r="J64" i="5"/>
  <c r="J63" i="5"/>
  <c r="F64" i="5"/>
  <c r="F63" i="5"/>
  <c r="G63" i="5"/>
  <c r="G64" i="5"/>
  <c r="I58" i="5"/>
  <c r="I59" i="5"/>
  <c r="I60" i="5"/>
  <c r="J59" i="5"/>
  <c r="J60" i="5"/>
  <c r="J61" i="5" s="1"/>
  <c r="J62" i="5" s="1"/>
  <c r="J58" i="5"/>
  <c r="F58" i="5"/>
  <c r="F59" i="5"/>
  <c r="F60" i="5"/>
  <c r="G58" i="5"/>
  <c r="G59" i="5"/>
  <c r="G60" i="5"/>
  <c r="G61" i="5" s="1"/>
  <c r="G62" i="5" s="1"/>
  <c r="H59" i="5"/>
  <c r="H58" i="5"/>
  <c r="H60" i="5"/>
  <c r="H40" i="5"/>
  <c r="I40" i="5"/>
  <c r="M35" i="5"/>
  <c r="L38" i="5"/>
  <c r="J40" i="5"/>
  <c r="G40" i="5"/>
  <c r="F40" i="5"/>
  <c r="F48" i="5"/>
  <c r="J24" i="5"/>
  <c r="F24" i="5"/>
  <c r="G24" i="5"/>
  <c r="H24" i="5"/>
  <c r="I24" i="5"/>
  <c r="P33" i="6" l="1"/>
  <c r="P35" i="6" s="1"/>
  <c r="P36" i="6"/>
  <c r="O36" i="6"/>
  <c r="I61" i="5"/>
  <c r="I62" i="5" s="1"/>
  <c r="H61" i="5"/>
  <c r="H62" i="5" s="1"/>
  <c r="I48" i="5"/>
  <c r="I54" i="5" s="1"/>
  <c r="H48" i="5"/>
  <c r="H54" i="5" s="1"/>
  <c r="G48" i="5"/>
  <c r="G54" i="5" s="1"/>
  <c r="J48" i="5"/>
  <c r="J54" i="5" s="1"/>
  <c r="N35" i="5"/>
  <c r="M38" i="5"/>
  <c r="F54" i="5"/>
  <c r="O35" i="5" l="1"/>
  <c r="N38" i="5"/>
  <c r="L86" i="4"/>
  <c r="M86" i="4" s="1"/>
  <c r="N86" i="4" s="1"/>
  <c r="O86" i="4" s="1"/>
  <c r="P86" i="4" s="1"/>
  <c r="L85" i="4"/>
  <c r="M85" i="4" s="1"/>
  <c r="N85" i="4" s="1"/>
  <c r="O85" i="4" s="1"/>
  <c r="P85" i="4" s="1"/>
  <c r="P35" i="5" l="1"/>
  <c r="P38" i="5" s="1"/>
  <c r="O38" i="5"/>
  <c r="J75" i="4"/>
  <c r="J71" i="4"/>
  <c r="J67" i="4"/>
  <c r="J10" i="4"/>
  <c r="J48" i="4" s="1"/>
  <c r="J66" i="4" s="1"/>
  <c r="J19" i="4"/>
  <c r="J72" i="5" s="1"/>
  <c r="J27" i="4"/>
  <c r="J114" i="4" s="1"/>
  <c r="J38" i="4"/>
  <c r="J46" i="4"/>
  <c r="J121" i="4" s="1"/>
  <c r="I75" i="4"/>
  <c r="I71" i="4"/>
  <c r="I67" i="4"/>
  <c r="I63" i="4"/>
  <c r="J60" i="4"/>
  <c r="I60" i="4"/>
  <c r="H60" i="4"/>
  <c r="G60" i="4"/>
  <c r="F60" i="4"/>
  <c r="H75" i="4"/>
  <c r="H71" i="4"/>
  <c r="H67" i="4"/>
  <c r="H31" i="4"/>
  <c r="G31" i="4"/>
  <c r="F31" i="4"/>
  <c r="G67" i="4"/>
  <c r="H63" i="4"/>
  <c r="H34" i="4"/>
  <c r="H16" i="4"/>
  <c r="H15" i="4"/>
  <c r="H44" i="4" s="1"/>
  <c r="G75" i="4"/>
  <c r="G71" i="4"/>
  <c r="I45" i="4"/>
  <c r="I44" i="4"/>
  <c r="G44" i="4"/>
  <c r="G34" i="4"/>
  <c r="G26" i="4"/>
  <c r="J17" i="4" l="1"/>
  <c r="J112" i="4" s="1"/>
  <c r="J78" i="5"/>
  <c r="J111" i="4"/>
  <c r="K19" i="4" s="1"/>
  <c r="J35" i="4"/>
  <c r="J115" i="4"/>
  <c r="J12" i="4"/>
  <c r="J68" i="4"/>
  <c r="G45" i="4"/>
  <c r="H45" i="4"/>
  <c r="J81" i="5" l="1"/>
  <c r="J21" i="4"/>
  <c r="J106" i="4" s="1"/>
  <c r="J50" i="4"/>
  <c r="J110" i="4"/>
  <c r="J116" i="4"/>
  <c r="J130" i="4"/>
  <c r="J120" i="4"/>
  <c r="J72" i="4"/>
  <c r="J73" i="4" s="1"/>
  <c r="I72" i="4"/>
  <c r="H72" i="4"/>
  <c r="G72" i="4"/>
  <c r="F71" i="4"/>
  <c r="J64" i="4"/>
  <c r="I64" i="4"/>
  <c r="H64" i="4"/>
  <c r="G64" i="4"/>
  <c r="F64" i="4"/>
  <c r="I46" i="4"/>
  <c r="H46" i="4"/>
  <c r="G46" i="4"/>
  <c r="F42" i="4"/>
  <c r="F44" i="4"/>
  <c r="I42" i="4"/>
  <c r="H42" i="4"/>
  <c r="G42" i="4"/>
  <c r="I38" i="4"/>
  <c r="H38" i="4"/>
  <c r="G38" i="4"/>
  <c r="F34" i="4"/>
  <c r="I27" i="4"/>
  <c r="H27" i="4"/>
  <c r="G27" i="4"/>
  <c r="F26" i="4"/>
  <c r="F27" i="4" s="1"/>
  <c r="I19" i="4"/>
  <c r="I72" i="5" s="1"/>
  <c r="H19" i="4"/>
  <c r="H72" i="5" s="1"/>
  <c r="G19" i="4"/>
  <c r="G72" i="5" s="1"/>
  <c r="F19" i="4"/>
  <c r="F72" i="5" s="1"/>
  <c r="J125" i="4" l="1"/>
  <c r="J127" i="4"/>
  <c r="I35" i="4"/>
  <c r="I130" i="4" s="1"/>
  <c r="F78" i="5"/>
  <c r="H17" i="4"/>
  <c r="H78" i="5"/>
  <c r="I17" i="4"/>
  <c r="I78" i="5"/>
  <c r="G35" i="4"/>
  <c r="G130" i="4" s="1"/>
  <c r="H35" i="4"/>
  <c r="H130" i="4" s="1"/>
  <c r="G17" i="4"/>
  <c r="G78" i="5"/>
  <c r="F17" i="4"/>
  <c r="F38" i="4"/>
  <c r="F45" i="4"/>
  <c r="F46" i="4" s="1"/>
  <c r="J119" i="4"/>
  <c r="F75" i="4"/>
  <c r="F72" i="4"/>
  <c r="J123" i="4"/>
  <c r="AU76" i="3"/>
  <c r="K78" i="5" l="1"/>
  <c r="J103" i="4"/>
  <c r="J54" i="4"/>
  <c r="J56" i="4" s="1"/>
  <c r="F35" i="4"/>
  <c r="F130" i="4" s="1"/>
  <c r="K130" i="4" s="1"/>
  <c r="K72" i="5"/>
  <c r="K13" i="5" s="1"/>
  <c r="K28" i="5"/>
  <c r="J52" i="4"/>
  <c r="J104" i="4" s="1"/>
  <c r="J97" i="4"/>
  <c r="J74" i="4"/>
  <c r="J76" i="4" s="1"/>
  <c r="J98" i="4" s="1"/>
  <c r="K41" i="3"/>
  <c r="AV91" i="3"/>
  <c r="AU91" i="3"/>
  <c r="AV88" i="3"/>
  <c r="AU88" i="3"/>
  <c r="AV85" i="3"/>
  <c r="AV86" i="3" s="1"/>
  <c r="AV87" i="3" s="1"/>
  <c r="AU85" i="3"/>
  <c r="AV82" i="3"/>
  <c r="AV83" i="3" s="1"/>
  <c r="AV84" i="3" s="1"/>
  <c r="AU82" i="3"/>
  <c r="AV79" i="3"/>
  <c r="AV80" i="3" s="1"/>
  <c r="AV81" i="3" s="1"/>
  <c r="AU79" i="3"/>
  <c r="AV76" i="3"/>
  <c r="AV73" i="3"/>
  <c r="AU73" i="3"/>
  <c r="AV70" i="3"/>
  <c r="AU70" i="3"/>
  <c r="AZ70" i="3" s="1"/>
  <c r="BC70" i="3" s="1"/>
  <c r="BF70" i="3" s="1"/>
  <c r="BI70" i="3" s="1"/>
  <c r="BL70" i="3" s="1"/>
  <c r="AV67" i="3"/>
  <c r="AV68" i="3" s="1"/>
  <c r="AV69" i="3" s="1"/>
  <c r="AU67" i="3"/>
  <c r="AU68" i="3" s="1"/>
  <c r="AU69" i="3" s="1"/>
  <c r="AV64" i="3"/>
  <c r="AV65" i="3" s="1"/>
  <c r="AV66" i="3" s="1"/>
  <c r="AU64" i="3"/>
  <c r="AV61" i="3"/>
  <c r="AV62" i="3" s="1"/>
  <c r="AV63" i="3" s="1"/>
  <c r="AU61" i="3"/>
  <c r="AV58" i="3"/>
  <c r="AU58" i="3"/>
  <c r="AZ58" i="3" s="1"/>
  <c r="BC58" i="3" s="1"/>
  <c r="AV55" i="3"/>
  <c r="AV56" i="3" s="1"/>
  <c r="AV57" i="3" s="1"/>
  <c r="AU55" i="3"/>
  <c r="AV52" i="3"/>
  <c r="AV53" i="3" s="1"/>
  <c r="AV54" i="3" s="1"/>
  <c r="AU52" i="3"/>
  <c r="AV49" i="3"/>
  <c r="AU49" i="3"/>
  <c r="AV46" i="3"/>
  <c r="AU46" i="3"/>
  <c r="AV43" i="3"/>
  <c r="AU43" i="3"/>
  <c r="AV40" i="3"/>
  <c r="AU40" i="3"/>
  <c r="AV37" i="3"/>
  <c r="AU37" i="3"/>
  <c r="AV34" i="3"/>
  <c r="AU34" i="3"/>
  <c r="AV31" i="3"/>
  <c r="AU31" i="3"/>
  <c r="AV28" i="3"/>
  <c r="AU28" i="3"/>
  <c r="AV25" i="3"/>
  <c r="AU25" i="3"/>
  <c r="AV22" i="3"/>
  <c r="AV23" i="3" s="1"/>
  <c r="AV24" i="3" s="1"/>
  <c r="AU22" i="3"/>
  <c r="AV19" i="3"/>
  <c r="AV20" i="3" s="1"/>
  <c r="AV21" i="3" s="1"/>
  <c r="AU19" i="3"/>
  <c r="AV16" i="3"/>
  <c r="AV17" i="3" s="1"/>
  <c r="AV18" i="3" s="1"/>
  <c r="AU16" i="3"/>
  <c r="AV13" i="3"/>
  <c r="AU13" i="3"/>
  <c r="AV10" i="3"/>
  <c r="AV11" i="3" s="1"/>
  <c r="AV12" i="3" s="1"/>
  <c r="AU10" i="3"/>
  <c r="AU11" i="3" s="1"/>
  <c r="AU12" i="3" s="1"/>
  <c r="AV7" i="3"/>
  <c r="AU7" i="3"/>
  <c r="AK61" i="3"/>
  <c r="AN61" i="3"/>
  <c r="AQ61" i="3"/>
  <c r="AT61" i="3"/>
  <c r="AI62" i="3"/>
  <c r="AI63" i="3" s="1"/>
  <c r="AJ62" i="3"/>
  <c r="AJ63" i="3" s="1"/>
  <c r="AL62" i="3"/>
  <c r="AL63" i="3" s="1"/>
  <c r="AM62" i="3"/>
  <c r="AM63" i="3" s="1"/>
  <c r="AO62" i="3"/>
  <c r="AO63" i="3" s="1"/>
  <c r="AP62" i="3"/>
  <c r="AP63" i="3" s="1"/>
  <c r="AR62" i="3"/>
  <c r="AR63" i="3" s="1"/>
  <c r="AS62" i="3"/>
  <c r="AS63" i="3" s="1"/>
  <c r="AK64" i="3"/>
  <c r="AN64" i="3"/>
  <c r="AQ64" i="3"/>
  <c r="AT64" i="3"/>
  <c r="AI65" i="3"/>
  <c r="AI66" i="3" s="1"/>
  <c r="AJ65" i="3"/>
  <c r="AJ66" i="3" s="1"/>
  <c r="AL65" i="3"/>
  <c r="AL66" i="3" s="1"/>
  <c r="AM65" i="3"/>
  <c r="AM66" i="3" s="1"/>
  <c r="AO65" i="3"/>
  <c r="AO66" i="3" s="1"/>
  <c r="AP65" i="3"/>
  <c r="AP66" i="3" s="1"/>
  <c r="AR65" i="3"/>
  <c r="AR66" i="3" s="1"/>
  <c r="AS65" i="3"/>
  <c r="AS66" i="3" s="1"/>
  <c r="AK91" i="3"/>
  <c r="AK88" i="3"/>
  <c r="AK85" i="3"/>
  <c r="AK86" i="3" s="1"/>
  <c r="AK87" i="3" s="1"/>
  <c r="AK82" i="3"/>
  <c r="AK83" i="3" s="1"/>
  <c r="AK84" i="3" s="1"/>
  <c r="AK79" i="3"/>
  <c r="AK80" i="3" s="1"/>
  <c r="AK81" i="3" s="1"/>
  <c r="AK76" i="3"/>
  <c r="AK77" i="3" s="1"/>
  <c r="AK78" i="3" s="1"/>
  <c r="AK73" i="3"/>
  <c r="AK70" i="3"/>
  <c r="AK67" i="3"/>
  <c r="AK58" i="3"/>
  <c r="AK55" i="3"/>
  <c r="AK52" i="3"/>
  <c r="AK49" i="3"/>
  <c r="AK46" i="3"/>
  <c r="AK43" i="3"/>
  <c r="AK40" i="3"/>
  <c r="AK37" i="3"/>
  <c r="AK34" i="3"/>
  <c r="AK31" i="3"/>
  <c r="AK28" i="3"/>
  <c r="AK25" i="3"/>
  <c r="AK22" i="3"/>
  <c r="AK19" i="3"/>
  <c r="AK16" i="3"/>
  <c r="AK13" i="3"/>
  <c r="AK10" i="3"/>
  <c r="AK7" i="3"/>
  <c r="AN91" i="3"/>
  <c r="AN88" i="3"/>
  <c r="AN85" i="3"/>
  <c r="AN82" i="3"/>
  <c r="AN79" i="3"/>
  <c r="AN76" i="3"/>
  <c r="AN73" i="3"/>
  <c r="AN70" i="3"/>
  <c r="AN67" i="3"/>
  <c r="AN58" i="3"/>
  <c r="AN55" i="3"/>
  <c r="AN52" i="3"/>
  <c r="AN49" i="3"/>
  <c r="AN46" i="3"/>
  <c r="AN43" i="3"/>
  <c r="AN40" i="3"/>
  <c r="AN37" i="3"/>
  <c r="AN34" i="3"/>
  <c r="AN31" i="3"/>
  <c r="AN28" i="3"/>
  <c r="AN25" i="3"/>
  <c r="AN22" i="3"/>
  <c r="AN19" i="3"/>
  <c r="AN16" i="3"/>
  <c r="AN13" i="3"/>
  <c r="AN10" i="3"/>
  <c r="AN7" i="3"/>
  <c r="AQ91" i="3"/>
  <c r="AQ88" i="3"/>
  <c r="AQ85" i="3"/>
  <c r="AQ82" i="3"/>
  <c r="AQ79" i="3"/>
  <c r="AQ76" i="3"/>
  <c r="AQ73" i="3"/>
  <c r="AQ70" i="3"/>
  <c r="AQ67" i="3"/>
  <c r="AQ58" i="3"/>
  <c r="AQ55" i="3"/>
  <c r="AQ52" i="3"/>
  <c r="AQ49" i="3"/>
  <c r="AQ46" i="3"/>
  <c r="AQ43" i="3"/>
  <c r="AQ40" i="3"/>
  <c r="AQ37" i="3"/>
  <c r="AQ34" i="3"/>
  <c r="AQ31" i="3"/>
  <c r="AQ28" i="3"/>
  <c r="AQ25" i="3"/>
  <c r="AQ22" i="3"/>
  <c r="AQ19" i="3"/>
  <c r="AQ16" i="3"/>
  <c r="AQ13" i="3"/>
  <c r="AQ10" i="3"/>
  <c r="AQ7" i="3"/>
  <c r="AS94" i="3"/>
  <c r="AR94" i="3"/>
  <c r="AT76" i="3"/>
  <c r="AT77" i="3" s="1"/>
  <c r="AT78" i="3" s="1"/>
  <c r="AT79" i="3"/>
  <c r="AT82" i="3"/>
  <c r="AT85" i="3"/>
  <c r="AS86" i="3"/>
  <c r="AS87" i="3" s="1"/>
  <c r="AR86" i="3"/>
  <c r="AR87" i="3" s="1"/>
  <c r="AP86" i="3"/>
  <c r="AP87" i="3" s="1"/>
  <c r="AO86" i="3"/>
  <c r="AO87" i="3" s="1"/>
  <c r="AM86" i="3"/>
  <c r="AM87" i="3" s="1"/>
  <c r="AL86" i="3"/>
  <c r="AL87" i="3" s="1"/>
  <c r="AJ86" i="3"/>
  <c r="AJ87" i="3" s="1"/>
  <c r="AI86" i="3"/>
  <c r="AI87" i="3" s="1"/>
  <c r="AH86" i="3"/>
  <c r="AH87" i="3" s="1"/>
  <c r="AG86" i="3"/>
  <c r="AG87" i="3" s="1"/>
  <c r="AF86" i="3"/>
  <c r="AF87" i="3" s="1"/>
  <c r="AE86" i="3"/>
  <c r="AE87" i="3" s="1"/>
  <c r="AD86" i="3"/>
  <c r="AD87" i="3" s="1"/>
  <c r="AC86" i="3"/>
  <c r="AC87" i="3" s="1"/>
  <c r="AB86" i="3"/>
  <c r="AB87" i="3" s="1"/>
  <c r="AA86" i="3"/>
  <c r="AA87" i="3" s="1"/>
  <c r="Z86" i="3"/>
  <c r="Z87" i="3" s="1"/>
  <c r="Y86" i="3"/>
  <c r="Y87" i="3" s="1"/>
  <c r="X86" i="3"/>
  <c r="AY86" i="3" s="1"/>
  <c r="W86" i="3"/>
  <c r="V86" i="3"/>
  <c r="V87" i="3" s="1"/>
  <c r="U86" i="3"/>
  <c r="U87" i="3" s="1"/>
  <c r="T86" i="3"/>
  <c r="T87" i="3" s="1"/>
  <c r="S86" i="3"/>
  <c r="S87" i="3" s="1"/>
  <c r="R86" i="3"/>
  <c r="R87" i="3" s="1"/>
  <c r="Q86" i="3"/>
  <c r="Q87" i="3" s="1"/>
  <c r="P86" i="3"/>
  <c r="P87" i="3" s="1"/>
  <c r="O86" i="3"/>
  <c r="O87" i="3" s="1"/>
  <c r="N86" i="3"/>
  <c r="N87" i="3" s="1"/>
  <c r="M86" i="3"/>
  <c r="M87" i="3" s="1"/>
  <c r="L86" i="3"/>
  <c r="L87" i="3" s="1"/>
  <c r="K86" i="3"/>
  <c r="K87" i="3" s="1"/>
  <c r="J86" i="3"/>
  <c r="J87" i="3" s="1"/>
  <c r="I86" i="3"/>
  <c r="I87" i="3" s="1"/>
  <c r="H86" i="3"/>
  <c r="H87" i="3" s="1"/>
  <c r="AS83" i="3"/>
  <c r="AS84" i="3" s="1"/>
  <c r="AR83" i="3"/>
  <c r="AR84" i="3" s="1"/>
  <c r="AP83" i="3"/>
  <c r="AP84" i="3" s="1"/>
  <c r="AO83" i="3"/>
  <c r="AO84" i="3" s="1"/>
  <c r="AM83" i="3"/>
  <c r="AM84" i="3" s="1"/>
  <c r="AL83" i="3"/>
  <c r="AL84" i="3" s="1"/>
  <c r="AJ83" i="3"/>
  <c r="AJ84" i="3" s="1"/>
  <c r="AI83" i="3"/>
  <c r="AI84" i="3" s="1"/>
  <c r="AH83" i="3"/>
  <c r="AH84" i="3" s="1"/>
  <c r="AG83" i="3"/>
  <c r="AG84" i="3" s="1"/>
  <c r="AF83" i="3"/>
  <c r="AF84" i="3" s="1"/>
  <c r="AE83" i="3"/>
  <c r="AE84" i="3" s="1"/>
  <c r="AD83" i="3"/>
  <c r="AD84" i="3" s="1"/>
  <c r="AC83" i="3"/>
  <c r="AC84" i="3" s="1"/>
  <c r="AB83" i="3"/>
  <c r="AB84" i="3" s="1"/>
  <c r="AA83" i="3"/>
  <c r="AA84" i="3" s="1"/>
  <c r="Z83" i="3"/>
  <c r="Z84" i="3" s="1"/>
  <c r="Y83" i="3"/>
  <c r="Y84" i="3" s="1"/>
  <c r="X83" i="3"/>
  <c r="W83" i="3"/>
  <c r="V83" i="3"/>
  <c r="V84" i="3" s="1"/>
  <c r="U83" i="3"/>
  <c r="U84" i="3" s="1"/>
  <c r="T83" i="3"/>
  <c r="T84" i="3" s="1"/>
  <c r="S83" i="3"/>
  <c r="S84" i="3" s="1"/>
  <c r="R83" i="3"/>
  <c r="R84" i="3" s="1"/>
  <c r="Q83" i="3"/>
  <c r="Q84" i="3" s="1"/>
  <c r="P83" i="3"/>
  <c r="P84" i="3" s="1"/>
  <c r="O83" i="3"/>
  <c r="O84" i="3" s="1"/>
  <c r="N83" i="3"/>
  <c r="N84" i="3" s="1"/>
  <c r="M83" i="3"/>
  <c r="M84" i="3" s="1"/>
  <c r="L83" i="3"/>
  <c r="L84" i="3" s="1"/>
  <c r="K83" i="3"/>
  <c r="K84" i="3" s="1"/>
  <c r="J83" i="3"/>
  <c r="J84" i="3" s="1"/>
  <c r="I83" i="3"/>
  <c r="I84" i="3" s="1"/>
  <c r="H83" i="3"/>
  <c r="H84" i="3" s="1"/>
  <c r="AS80" i="3"/>
  <c r="AS81" i="3" s="1"/>
  <c r="AR80" i="3"/>
  <c r="AR81" i="3" s="1"/>
  <c r="AP80" i="3"/>
  <c r="AP81" i="3" s="1"/>
  <c r="AO80" i="3"/>
  <c r="AO81" i="3" s="1"/>
  <c r="AM80" i="3"/>
  <c r="AM81" i="3" s="1"/>
  <c r="AL80" i="3"/>
  <c r="AL81" i="3" s="1"/>
  <c r="AJ80" i="3"/>
  <c r="AJ81" i="3" s="1"/>
  <c r="AI80" i="3"/>
  <c r="AI81" i="3" s="1"/>
  <c r="AH80" i="3"/>
  <c r="AH81" i="3" s="1"/>
  <c r="AG80" i="3"/>
  <c r="AG81" i="3" s="1"/>
  <c r="AF80" i="3"/>
  <c r="AF81" i="3" s="1"/>
  <c r="AE80" i="3"/>
  <c r="AE81" i="3" s="1"/>
  <c r="AD80" i="3"/>
  <c r="AD81" i="3" s="1"/>
  <c r="AC80" i="3"/>
  <c r="AC81" i="3" s="1"/>
  <c r="AB80" i="3"/>
  <c r="AB81" i="3" s="1"/>
  <c r="AA80" i="3"/>
  <c r="AA81" i="3" s="1"/>
  <c r="Z80" i="3"/>
  <c r="Z81" i="3" s="1"/>
  <c r="Y80" i="3"/>
  <c r="Y81" i="3" s="1"/>
  <c r="X80" i="3"/>
  <c r="W80" i="3"/>
  <c r="V80" i="3"/>
  <c r="V81" i="3" s="1"/>
  <c r="U80" i="3"/>
  <c r="U81" i="3" s="1"/>
  <c r="T80" i="3"/>
  <c r="T81" i="3" s="1"/>
  <c r="S80" i="3"/>
  <c r="S81" i="3" s="1"/>
  <c r="R80" i="3"/>
  <c r="R81" i="3" s="1"/>
  <c r="Q80" i="3"/>
  <c r="Q81" i="3" s="1"/>
  <c r="P80" i="3"/>
  <c r="P81" i="3" s="1"/>
  <c r="O80" i="3"/>
  <c r="O81" i="3" s="1"/>
  <c r="N80" i="3"/>
  <c r="N81" i="3" s="1"/>
  <c r="M80" i="3"/>
  <c r="M81" i="3" s="1"/>
  <c r="L80" i="3"/>
  <c r="L81" i="3" s="1"/>
  <c r="K80" i="3"/>
  <c r="K81" i="3" s="1"/>
  <c r="J80" i="3"/>
  <c r="J81" i="3" s="1"/>
  <c r="I80" i="3"/>
  <c r="I81" i="3" s="1"/>
  <c r="H80" i="3"/>
  <c r="H81" i="3" s="1"/>
  <c r="AS77" i="3"/>
  <c r="AS78" i="3" s="1"/>
  <c r="AR77" i="3"/>
  <c r="AR78" i="3" s="1"/>
  <c r="AP77" i="3"/>
  <c r="AP78" i="3" s="1"/>
  <c r="AO77" i="3"/>
  <c r="AO78" i="3" s="1"/>
  <c r="AM77" i="3"/>
  <c r="AM78" i="3" s="1"/>
  <c r="AL77" i="3"/>
  <c r="AL78" i="3" s="1"/>
  <c r="AJ77" i="3"/>
  <c r="AJ78" i="3" s="1"/>
  <c r="AI77" i="3"/>
  <c r="AI78" i="3" s="1"/>
  <c r="AH77" i="3"/>
  <c r="AH78" i="3" s="1"/>
  <c r="AG77" i="3"/>
  <c r="AG78" i="3" s="1"/>
  <c r="AF77" i="3"/>
  <c r="AF78" i="3" s="1"/>
  <c r="AE77" i="3"/>
  <c r="AE78" i="3" s="1"/>
  <c r="AD77" i="3"/>
  <c r="AD78" i="3" s="1"/>
  <c r="AC77" i="3"/>
  <c r="AC78" i="3" s="1"/>
  <c r="AB77" i="3"/>
  <c r="AB78" i="3" s="1"/>
  <c r="AA77" i="3"/>
  <c r="AA78" i="3" s="1"/>
  <c r="Z77" i="3"/>
  <c r="Z78" i="3" s="1"/>
  <c r="Y77" i="3"/>
  <c r="Y78" i="3" s="1"/>
  <c r="X77" i="3"/>
  <c r="W77" i="3"/>
  <c r="V77" i="3"/>
  <c r="V78" i="3" s="1"/>
  <c r="U77" i="3"/>
  <c r="U78" i="3" s="1"/>
  <c r="T77" i="3"/>
  <c r="T78" i="3" s="1"/>
  <c r="S77" i="3"/>
  <c r="S78" i="3" s="1"/>
  <c r="R77" i="3"/>
  <c r="R78" i="3" s="1"/>
  <c r="Q77" i="3"/>
  <c r="Q78" i="3" s="1"/>
  <c r="P77" i="3"/>
  <c r="P78" i="3" s="1"/>
  <c r="O77" i="3"/>
  <c r="O78" i="3" s="1"/>
  <c r="N77" i="3"/>
  <c r="N78" i="3" s="1"/>
  <c r="M77" i="3"/>
  <c r="M78" i="3" s="1"/>
  <c r="L77" i="3"/>
  <c r="L78" i="3" s="1"/>
  <c r="K77" i="3"/>
  <c r="K78" i="3" s="1"/>
  <c r="J77" i="3"/>
  <c r="J78" i="3" s="1"/>
  <c r="I77" i="3"/>
  <c r="I78" i="3" s="1"/>
  <c r="H77" i="3"/>
  <c r="H78" i="3" s="1"/>
  <c r="AT91" i="3"/>
  <c r="AT88" i="3"/>
  <c r="AT73" i="3"/>
  <c r="AT70" i="3"/>
  <c r="AT67" i="3"/>
  <c r="AT58" i="3"/>
  <c r="AT55" i="3"/>
  <c r="AT52" i="3"/>
  <c r="AT49" i="3"/>
  <c r="AT46" i="3"/>
  <c r="AT43" i="3"/>
  <c r="AT40" i="3"/>
  <c r="AT37" i="3"/>
  <c r="AT34" i="3"/>
  <c r="AT31" i="3"/>
  <c r="AT28" i="3"/>
  <c r="AT25" i="3"/>
  <c r="AT22" i="3"/>
  <c r="AT19" i="3"/>
  <c r="AT16" i="3"/>
  <c r="AT13" i="3"/>
  <c r="AT10" i="3"/>
  <c r="AT7" i="3"/>
  <c r="AP94" i="3"/>
  <c r="AO94" i="3"/>
  <c r="AM94" i="3"/>
  <c r="AL94" i="3"/>
  <c r="AJ94" i="3"/>
  <c r="AI94" i="3"/>
  <c r="F94" i="3"/>
  <c r="E94" i="3"/>
  <c r="AF94" i="3"/>
  <c r="AD94" i="3"/>
  <c r="AC94" i="3"/>
  <c r="AA94" i="3"/>
  <c r="Z94" i="3"/>
  <c r="X94" i="3"/>
  <c r="W94" i="3"/>
  <c r="U94" i="3"/>
  <c r="T94" i="3"/>
  <c r="R94" i="3"/>
  <c r="Q94" i="3"/>
  <c r="O94" i="3"/>
  <c r="N94" i="3"/>
  <c r="L94" i="3"/>
  <c r="K94" i="3"/>
  <c r="I94" i="3"/>
  <c r="H94" i="3"/>
  <c r="H26" i="3"/>
  <c r="H27" i="3" s="1"/>
  <c r="H29" i="3"/>
  <c r="H30" i="3" s="1"/>
  <c r="H32" i="3"/>
  <c r="H33" i="3" s="1"/>
  <c r="H35" i="3"/>
  <c r="H36" i="3" s="1"/>
  <c r="H38" i="3"/>
  <c r="H39" i="3" s="1"/>
  <c r="H41" i="3"/>
  <c r="H42" i="3" s="1"/>
  <c r="H44" i="3"/>
  <c r="H45" i="3" s="1"/>
  <c r="H47" i="3"/>
  <c r="H48" i="3" s="1"/>
  <c r="H50" i="3"/>
  <c r="H51" i="3" s="1"/>
  <c r="H53" i="3"/>
  <c r="H54" i="3" s="1"/>
  <c r="H56" i="3"/>
  <c r="H57" i="3" s="1"/>
  <c r="H59" i="3"/>
  <c r="H60" i="3" s="1"/>
  <c r="H62" i="3"/>
  <c r="H63" i="3" s="1"/>
  <c r="H65" i="3"/>
  <c r="H66" i="3" s="1"/>
  <c r="H68" i="3"/>
  <c r="H69" i="3" s="1"/>
  <c r="H71" i="3"/>
  <c r="H72" i="3" s="1"/>
  <c r="H74" i="3"/>
  <c r="H75" i="3" s="1"/>
  <c r="H89" i="3"/>
  <c r="H90" i="3" s="1"/>
  <c r="H92" i="3"/>
  <c r="H93" i="3" s="1"/>
  <c r="AX83" i="3" l="1"/>
  <c r="AY83" i="3"/>
  <c r="AY77" i="3"/>
  <c r="J107" i="4"/>
  <c r="Z95" i="3"/>
  <c r="N95" i="3"/>
  <c r="AF95" i="3"/>
  <c r="AO95" i="3"/>
  <c r="R95" i="3"/>
  <c r="T95" i="3"/>
  <c r="U95" i="3"/>
  <c r="H95" i="3"/>
  <c r="I95" i="3"/>
  <c r="AL95" i="3"/>
  <c r="AU41" i="3"/>
  <c r="AU42" i="3" s="1"/>
  <c r="AU59" i="3"/>
  <c r="AU60" i="3" s="1"/>
  <c r="AV77" i="3"/>
  <c r="AV78" i="3" s="1"/>
  <c r="AU38" i="3"/>
  <c r="AU39" i="3" s="1"/>
  <c r="W95" i="3"/>
  <c r="AV41" i="3"/>
  <c r="AV42" i="3" s="1"/>
  <c r="AR95" i="3"/>
  <c r="AV26" i="3"/>
  <c r="AV27" i="3" s="1"/>
  <c r="AV44" i="3"/>
  <c r="AV45" i="3" s="1"/>
  <c r="AA95" i="3"/>
  <c r="X95" i="3"/>
  <c r="AC95" i="3"/>
  <c r="AV29" i="3"/>
  <c r="AV30" i="3" s="1"/>
  <c r="AV47" i="3"/>
  <c r="AV48" i="3" s="1"/>
  <c r="AV74" i="3"/>
  <c r="AV75" i="3" s="1"/>
  <c r="K95" i="3"/>
  <c r="L95" i="3"/>
  <c r="AD95" i="3"/>
  <c r="AU14" i="3"/>
  <c r="AU15" i="3" s="1"/>
  <c r="AU50" i="3"/>
  <c r="AU51" i="3" s="1"/>
  <c r="AV14" i="3"/>
  <c r="AV15" i="3" s="1"/>
  <c r="AV32" i="3"/>
  <c r="AV33" i="3" s="1"/>
  <c r="AV50" i="3"/>
  <c r="AV51" i="3" s="1"/>
  <c r="AU89" i="3"/>
  <c r="AU90" i="3" s="1"/>
  <c r="AV92" i="3"/>
  <c r="AV93" i="3" s="1"/>
  <c r="O95" i="3"/>
  <c r="AU35" i="3"/>
  <c r="AU36" i="3" s="1"/>
  <c r="AU71" i="3"/>
  <c r="AU72" i="3" s="1"/>
  <c r="AV89" i="3"/>
  <c r="AV90" i="3" s="1"/>
  <c r="AV38" i="3"/>
  <c r="AV39" i="3" s="1"/>
  <c r="Q95" i="3"/>
  <c r="AV35" i="3"/>
  <c r="AV36" i="3" s="1"/>
  <c r="AV71" i="3"/>
  <c r="AV72" i="3" s="1"/>
  <c r="J108" i="4"/>
  <c r="AO97" i="3"/>
  <c r="AR97" i="3"/>
  <c r="AL97" i="3"/>
  <c r="W98" i="3"/>
  <c r="F8" i="4" s="1"/>
  <c r="AW22" i="3"/>
  <c r="J78" i="4"/>
  <c r="J105" i="4" s="1"/>
  <c r="J81" i="4"/>
  <c r="J82" i="4"/>
  <c r="H98" i="3"/>
  <c r="W87" i="3"/>
  <c r="AU8" i="3"/>
  <c r="AU9" i="3" s="1"/>
  <c r="W84" i="3"/>
  <c r="W78" i="3"/>
  <c r="X81" i="3"/>
  <c r="AY80" i="3"/>
  <c r="BA79" i="3" s="1"/>
  <c r="BD79" i="3" s="1"/>
  <c r="BG79" i="3" s="1"/>
  <c r="BJ79" i="3" s="1"/>
  <c r="BM79" i="3" s="1"/>
  <c r="X87" i="3"/>
  <c r="BA85" i="3"/>
  <c r="BD85" i="3" s="1"/>
  <c r="BG85" i="3" s="1"/>
  <c r="BJ85" i="3" s="1"/>
  <c r="BM85" i="3" s="1"/>
  <c r="W81" i="3"/>
  <c r="X78" i="3"/>
  <c r="X84" i="3"/>
  <c r="BA82" i="3"/>
  <c r="BD82" i="3" s="1"/>
  <c r="BG82" i="3" s="1"/>
  <c r="BJ82" i="3" s="1"/>
  <c r="BM82" i="3" s="1"/>
  <c r="AV8" i="3"/>
  <c r="AV9" i="3" s="1"/>
  <c r="AW73" i="3"/>
  <c r="AW91" i="3"/>
  <c r="AW19" i="3"/>
  <c r="AW76" i="3"/>
  <c r="AW77" i="3" s="1"/>
  <c r="AW78" i="3" s="1"/>
  <c r="AW25" i="3"/>
  <c r="AW43" i="3"/>
  <c r="AW61" i="3"/>
  <c r="AQ89" i="3"/>
  <c r="AQ90" i="3" s="1"/>
  <c r="AN38" i="3"/>
  <c r="AN39" i="3" s="1"/>
  <c r="AQ80" i="3"/>
  <c r="AQ81" i="3" s="1"/>
  <c r="AQ65" i="3"/>
  <c r="AQ66" i="3" s="1"/>
  <c r="AT80" i="3"/>
  <c r="AT81" i="3" s="1"/>
  <c r="AW31" i="3"/>
  <c r="AW49" i="3"/>
  <c r="AW85" i="3"/>
  <c r="AW86" i="3" s="1"/>
  <c r="AW87" i="3" s="1"/>
  <c r="AU74" i="3"/>
  <c r="AU75" i="3" s="1"/>
  <c r="AW46" i="3"/>
  <c r="AW64" i="3"/>
  <c r="AW82" i="3"/>
  <c r="AW83" i="3" s="1"/>
  <c r="AW84" i="3" s="1"/>
  <c r="AU20" i="3"/>
  <c r="AU21" i="3" s="1"/>
  <c r="AW16" i="3"/>
  <c r="AW34" i="3"/>
  <c r="AW52" i="3"/>
  <c r="AW70" i="3"/>
  <c r="AQ17" i="3"/>
  <c r="AQ18" i="3" s="1"/>
  <c r="AT62" i="3"/>
  <c r="AT63" i="3" s="1"/>
  <c r="AW10" i="3"/>
  <c r="AW28" i="3"/>
  <c r="AW79" i="3"/>
  <c r="AW80" i="3" s="1"/>
  <c r="AW81" i="3" s="1"/>
  <c r="AU23" i="3"/>
  <c r="AU24" i="3" s="1"/>
  <c r="AU53" i="3"/>
  <c r="AU54" i="3" s="1"/>
  <c r="AV94" i="3"/>
  <c r="AU26" i="3"/>
  <c r="AU27" i="3" s="1"/>
  <c r="AU62" i="3"/>
  <c r="AU63" i="3" s="1"/>
  <c r="AW13" i="3"/>
  <c r="AW7" i="3"/>
  <c r="AU92" i="3"/>
  <c r="AU93" i="3" s="1"/>
  <c r="AU86" i="3"/>
  <c r="AU87" i="3" s="1"/>
  <c r="AU44" i="3"/>
  <c r="AU65" i="3"/>
  <c r="AU66" i="3" s="1"/>
  <c r="AU94" i="3"/>
  <c r="AU83" i="3"/>
  <c r="AU84" i="3" s="1"/>
  <c r="AW37" i="3"/>
  <c r="AW55" i="3"/>
  <c r="AW56" i="3" s="1"/>
  <c r="AW57" i="3" s="1"/>
  <c r="AU29" i="3"/>
  <c r="AU30" i="3" s="1"/>
  <c r="AU80" i="3"/>
  <c r="AU81" i="3" s="1"/>
  <c r="AU17" i="3"/>
  <c r="AU18" i="3" s="1"/>
  <c r="AU47" i="3"/>
  <c r="AU48" i="3" s="1"/>
  <c r="AU77" i="3"/>
  <c r="AU78" i="3" s="1"/>
  <c r="AW40" i="3"/>
  <c r="AW58" i="3"/>
  <c r="AU32" i="3"/>
  <c r="AU33" i="3" s="1"/>
  <c r="AW88" i="3"/>
  <c r="AW67" i="3"/>
  <c r="AU56" i="3"/>
  <c r="AU57" i="3" s="1"/>
  <c r="AQ92" i="3"/>
  <c r="AQ93" i="3" s="1"/>
  <c r="AQ8" i="3"/>
  <c r="AQ9" i="3" s="1"/>
  <c r="AQ20" i="3"/>
  <c r="AQ21" i="3" s="1"/>
  <c r="AQ56" i="3"/>
  <c r="AQ57" i="3" s="1"/>
  <c r="AT86" i="3"/>
  <c r="AT87" i="3" s="1"/>
  <c r="AN68" i="3"/>
  <c r="AN69" i="3" s="1"/>
  <c r="AQ26" i="3"/>
  <c r="AQ27" i="3" s="1"/>
  <c r="AN17" i="3"/>
  <c r="AN18" i="3" s="1"/>
  <c r="AQ29" i="3"/>
  <c r="AQ30" i="3" s="1"/>
  <c r="AN20" i="3"/>
  <c r="AN21" i="3" s="1"/>
  <c r="AN56" i="3"/>
  <c r="AN57" i="3" s="1"/>
  <c r="AQ74" i="3"/>
  <c r="AQ75" i="3" s="1"/>
  <c r="AN59" i="3"/>
  <c r="AN60" i="3" s="1"/>
  <c r="AN71" i="3"/>
  <c r="AN72" i="3" s="1"/>
  <c r="AN74" i="3"/>
  <c r="AN75" i="3" s="1"/>
  <c r="Q98" i="3"/>
  <c r="AN35" i="3"/>
  <c r="AN36" i="3" s="1"/>
  <c r="AT65" i="3"/>
  <c r="AT66" i="3" s="1"/>
  <c r="AN62" i="3"/>
  <c r="AN63" i="3" s="1"/>
  <c r="AQ35" i="3"/>
  <c r="AQ36" i="3" s="1"/>
  <c r="AN89" i="3"/>
  <c r="AN90" i="3" s="1"/>
  <c r="AN92" i="3"/>
  <c r="AN93" i="3" s="1"/>
  <c r="AQ62" i="3"/>
  <c r="AQ63" i="3" s="1"/>
  <c r="AN65" i="3"/>
  <c r="AN66" i="3" s="1"/>
  <c r="AN14" i="3"/>
  <c r="AN15" i="3" s="1"/>
  <c r="AQ68" i="3"/>
  <c r="AQ69" i="3" s="1"/>
  <c r="AQ59" i="3"/>
  <c r="AQ60" i="3" s="1"/>
  <c r="AQ71" i="3"/>
  <c r="AQ72" i="3" s="1"/>
  <c r="AQ38" i="3"/>
  <c r="AQ39" i="3" s="1"/>
  <c r="AN11" i="3"/>
  <c r="AN12" i="3" s="1"/>
  <c r="AQ32" i="3"/>
  <c r="AQ33" i="3" s="1"/>
  <c r="AT83" i="3"/>
  <c r="AT84" i="3" s="1"/>
  <c r="AN47" i="3"/>
  <c r="AN48" i="3" s="1"/>
  <c r="AN50" i="3"/>
  <c r="AN51" i="3" s="1"/>
  <c r="AN41" i="3"/>
  <c r="AN42" i="3" s="1"/>
  <c r="AN26" i="3"/>
  <c r="AN27" i="3" s="1"/>
  <c r="AN53" i="3"/>
  <c r="AN54" i="3" s="1"/>
  <c r="AN77" i="3"/>
  <c r="AN78" i="3" s="1"/>
  <c r="AN29" i="3"/>
  <c r="AN30" i="3" s="1"/>
  <c r="AN83" i="3"/>
  <c r="AN84" i="3" s="1"/>
  <c r="AN44" i="3"/>
  <c r="AN45" i="3" s="1"/>
  <c r="AN23" i="3"/>
  <c r="AN24" i="3" s="1"/>
  <c r="AN32" i="3"/>
  <c r="AN33" i="3" s="1"/>
  <c r="AN86" i="3"/>
  <c r="AN87" i="3" s="1"/>
  <c r="AN80" i="3"/>
  <c r="AN81" i="3" s="1"/>
  <c r="AQ77" i="3"/>
  <c r="AQ78" i="3" s="1"/>
  <c r="AQ41" i="3"/>
  <c r="AQ42" i="3" s="1"/>
  <c r="AQ14" i="3"/>
  <c r="AQ15" i="3" s="1"/>
  <c r="AQ47" i="3"/>
  <c r="AQ48" i="3" s="1"/>
  <c r="AN8" i="3"/>
  <c r="AN9" i="3" s="1"/>
  <c r="AQ11" i="3"/>
  <c r="AQ12" i="3" s="1"/>
  <c r="AQ44" i="3"/>
  <c r="AQ45" i="3" s="1"/>
  <c r="AQ50" i="3"/>
  <c r="AQ51" i="3" s="1"/>
  <c r="AQ23" i="3"/>
  <c r="AQ24" i="3" s="1"/>
  <c r="AQ53" i="3"/>
  <c r="AQ54" i="3" s="1"/>
  <c r="AQ86" i="3"/>
  <c r="AQ87" i="3" s="1"/>
  <c r="AQ83" i="3"/>
  <c r="AQ84" i="3" s="1"/>
  <c r="AT68" i="3"/>
  <c r="AT69" i="3" s="1"/>
  <c r="K98" i="3"/>
  <c r="AC98" i="3"/>
  <c r="H8" i="4" s="1"/>
  <c r="H114" i="4" s="1"/>
  <c r="Z98" i="3"/>
  <c r="G8" i="4" s="1"/>
  <c r="G114" i="4" s="1"/>
  <c r="T98" i="3"/>
  <c r="N98" i="3"/>
  <c r="E98" i="3"/>
  <c r="AT53" i="3"/>
  <c r="AT54" i="3" s="1"/>
  <c r="AT14" i="3"/>
  <c r="AT15" i="3" s="1"/>
  <c r="AT59" i="3"/>
  <c r="AT60" i="3" s="1"/>
  <c r="AT26" i="3"/>
  <c r="AT27" i="3" s="1"/>
  <c r="AT56" i="3"/>
  <c r="AT57" i="3" s="1"/>
  <c r="AT29" i="3"/>
  <c r="AT30" i="3" s="1"/>
  <c r="AT32" i="3"/>
  <c r="AT33" i="3" s="1"/>
  <c r="AT38" i="3"/>
  <c r="AT39" i="3" s="1"/>
  <c r="AT35" i="3"/>
  <c r="AT36" i="3" s="1"/>
  <c r="AT50" i="3"/>
  <c r="AT51" i="3" s="1"/>
  <c r="AT11" i="3"/>
  <c r="AT12" i="3" s="1"/>
  <c r="AT23" i="3"/>
  <c r="AT24" i="3" s="1"/>
  <c r="AT92" i="3"/>
  <c r="AT93" i="3" s="1"/>
  <c r="AT47" i="3"/>
  <c r="AT48" i="3" s="1"/>
  <c r="AT20" i="3"/>
  <c r="AT21" i="3" s="1"/>
  <c r="AT89" i="3"/>
  <c r="AT90" i="3" s="1"/>
  <c r="AT8" i="3"/>
  <c r="AT9" i="3" s="1"/>
  <c r="AT74" i="3"/>
  <c r="AT75" i="3" s="1"/>
  <c r="AT41" i="3"/>
  <c r="AT42" i="3" s="1"/>
  <c r="AT17" i="3"/>
  <c r="AT18" i="3" s="1"/>
  <c r="AT44" i="3"/>
  <c r="AT45" i="3" s="1"/>
  <c r="AT71" i="3"/>
  <c r="AT72" i="3" s="1"/>
  <c r="AI98" i="3"/>
  <c r="AX80" i="3" l="1"/>
  <c r="AZ79" i="3" s="1"/>
  <c r="AX77" i="3"/>
  <c r="AX86" i="3"/>
  <c r="AZ85" i="3" s="1"/>
  <c r="J94" i="4"/>
  <c r="BA76" i="3"/>
  <c r="BD76" i="3" s="1"/>
  <c r="BG76" i="3" s="1"/>
  <c r="BJ76" i="3" s="1"/>
  <c r="BM76" i="3" s="1"/>
  <c r="F116" i="4"/>
  <c r="F114" i="4"/>
  <c r="AZ76" i="3"/>
  <c r="BC76" i="3" s="1"/>
  <c r="AU95" i="3"/>
  <c r="AX95" i="3" s="1"/>
  <c r="AZ95" i="3" s="1"/>
  <c r="BC95" i="3" s="1"/>
  <c r="BF95" i="3" s="1"/>
  <c r="BI95" i="3" s="1"/>
  <c r="BL95" i="3" s="1"/>
  <c r="G74" i="5"/>
  <c r="G70" i="5"/>
  <c r="G117" i="4"/>
  <c r="G118" i="4"/>
  <c r="G113" i="4"/>
  <c r="G15" i="6"/>
  <c r="G111" i="4"/>
  <c r="G115" i="4"/>
  <c r="G121" i="4"/>
  <c r="G112" i="4"/>
  <c r="G116" i="4"/>
  <c r="H70" i="5"/>
  <c r="H74" i="5"/>
  <c r="H117" i="4"/>
  <c r="H113" i="4"/>
  <c r="H118" i="4"/>
  <c r="H15" i="6"/>
  <c r="H111" i="4"/>
  <c r="H121" i="4"/>
  <c r="H115" i="4"/>
  <c r="H116" i="4"/>
  <c r="H112" i="4"/>
  <c r="F10" i="4"/>
  <c r="F48" i="4" s="1"/>
  <c r="F66" i="4" s="1"/>
  <c r="F117" i="4"/>
  <c r="F70" i="5"/>
  <c r="F118" i="4"/>
  <c r="F113" i="4"/>
  <c r="F15" i="6"/>
  <c r="F74" i="5"/>
  <c r="F111" i="4"/>
  <c r="F121" i="4"/>
  <c r="F112" i="4"/>
  <c r="F115" i="4"/>
  <c r="I99" i="3"/>
  <c r="I100" i="3" s="1"/>
  <c r="G10" i="4"/>
  <c r="L99" i="3"/>
  <c r="L100" i="3" s="1"/>
  <c r="H10" i="4"/>
  <c r="AU45" i="3"/>
  <c r="AZ82" i="3"/>
  <c r="BC79" i="3"/>
  <c r="AU98" i="3"/>
  <c r="R99" i="3"/>
  <c r="R100" i="3" s="1"/>
  <c r="U99" i="3"/>
  <c r="U100" i="3" s="1"/>
  <c r="AD99" i="3"/>
  <c r="AD100" i="3" s="1"/>
  <c r="X99" i="3"/>
  <c r="X100" i="3" s="1"/>
  <c r="O99" i="3"/>
  <c r="O100" i="3" s="1"/>
  <c r="AA99" i="3"/>
  <c r="AA100" i="3" s="1"/>
  <c r="AS92" i="3"/>
  <c r="AS93" i="3" s="1"/>
  <c r="AR92" i="3"/>
  <c r="AR93" i="3" s="1"/>
  <c r="AP92" i="3"/>
  <c r="AP93" i="3" s="1"/>
  <c r="AO92" i="3"/>
  <c r="AO93" i="3" s="1"/>
  <c r="AM92" i="3"/>
  <c r="AM93" i="3" s="1"/>
  <c r="AL92" i="3"/>
  <c r="AL93" i="3" s="1"/>
  <c r="AJ92" i="3"/>
  <c r="AJ93" i="3" s="1"/>
  <c r="AI92" i="3"/>
  <c r="AI93" i="3" s="1"/>
  <c r="AG92" i="3"/>
  <c r="AG93" i="3" s="1"/>
  <c r="AF92" i="3"/>
  <c r="AF93" i="3" s="1"/>
  <c r="AD92" i="3"/>
  <c r="AD93" i="3" s="1"/>
  <c r="AC92" i="3"/>
  <c r="AC93" i="3" s="1"/>
  <c r="AA92" i="3"/>
  <c r="AA93" i="3" s="1"/>
  <c r="Z92" i="3"/>
  <c r="Z93" i="3" s="1"/>
  <c r="X92" i="3"/>
  <c r="W92" i="3"/>
  <c r="U92" i="3"/>
  <c r="U93" i="3" s="1"/>
  <c r="T92" i="3"/>
  <c r="T93" i="3" s="1"/>
  <c r="R92" i="3"/>
  <c r="Q92" i="3"/>
  <c r="O92" i="3"/>
  <c r="O93" i="3" s="1"/>
  <c r="N92" i="3"/>
  <c r="N93" i="3" s="1"/>
  <c r="L92" i="3"/>
  <c r="L93" i="3" s="1"/>
  <c r="K92" i="3"/>
  <c r="K93" i="3" s="1"/>
  <c r="I92" i="3"/>
  <c r="I93" i="3" s="1"/>
  <c r="AS89" i="3"/>
  <c r="AS90" i="3" s="1"/>
  <c r="AR89" i="3"/>
  <c r="AR90" i="3" s="1"/>
  <c r="AP89" i="3"/>
  <c r="AP90" i="3" s="1"/>
  <c r="AO89" i="3"/>
  <c r="AO90" i="3" s="1"/>
  <c r="AM89" i="3"/>
  <c r="AM90" i="3" s="1"/>
  <c r="AL89" i="3"/>
  <c r="AL90" i="3" s="1"/>
  <c r="AJ89" i="3"/>
  <c r="AJ90" i="3" s="1"/>
  <c r="AI89" i="3"/>
  <c r="AI90" i="3" s="1"/>
  <c r="AG89" i="3"/>
  <c r="AG90" i="3" s="1"/>
  <c r="AF89" i="3"/>
  <c r="AF90" i="3" s="1"/>
  <c r="AD89" i="3"/>
  <c r="AD90" i="3" s="1"/>
  <c r="AC89" i="3"/>
  <c r="AC90" i="3" s="1"/>
  <c r="AA89" i="3"/>
  <c r="AA90" i="3" s="1"/>
  <c r="Z89" i="3"/>
  <c r="Z90" i="3" s="1"/>
  <c r="X89" i="3"/>
  <c r="W89" i="3"/>
  <c r="U89" i="3"/>
  <c r="U90" i="3" s="1"/>
  <c r="T89" i="3"/>
  <c r="T90" i="3" s="1"/>
  <c r="R89" i="3"/>
  <c r="R90" i="3" s="1"/>
  <c r="Q89" i="3"/>
  <c r="Q90" i="3" s="1"/>
  <c r="O89" i="3"/>
  <c r="O90" i="3" s="1"/>
  <c r="N89" i="3"/>
  <c r="N90" i="3" s="1"/>
  <c r="L89" i="3"/>
  <c r="L90" i="3" s="1"/>
  <c r="K89" i="3"/>
  <c r="K90" i="3" s="1"/>
  <c r="I89" i="3"/>
  <c r="I90" i="3" s="1"/>
  <c r="AS74" i="3"/>
  <c r="AS75" i="3" s="1"/>
  <c r="AR74" i="3"/>
  <c r="AR75" i="3" s="1"/>
  <c r="AP74" i="3"/>
  <c r="AP75" i="3" s="1"/>
  <c r="AO74" i="3"/>
  <c r="AO75" i="3" s="1"/>
  <c r="AM74" i="3"/>
  <c r="AM75" i="3" s="1"/>
  <c r="AL74" i="3"/>
  <c r="AL75" i="3" s="1"/>
  <c r="AJ74" i="3"/>
  <c r="AJ75" i="3" s="1"/>
  <c r="AI74" i="3"/>
  <c r="AI75" i="3" s="1"/>
  <c r="AG74" i="3"/>
  <c r="AG75" i="3" s="1"/>
  <c r="AF74" i="3"/>
  <c r="AF75" i="3" s="1"/>
  <c r="AD74" i="3"/>
  <c r="AD75" i="3" s="1"/>
  <c r="AC74" i="3"/>
  <c r="AC75" i="3" s="1"/>
  <c r="AA74" i="3"/>
  <c r="AA75" i="3" s="1"/>
  <c r="Z74" i="3"/>
  <c r="Z75" i="3" s="1"/>
  <c r="X74" i="3"/>
  <c r="W74" i="3"/>
  <c r="U74" i="3"/>
  <c r="U75" i="3" s="1"/>
  <c r="T74" i="3"/>
  <c r="T75" i="3" s="1"/>
  <c r="R74" i="3"/>
  <c r="R75" i="3" s="1"/>
  <c r="Q74" i="3"/>
  <c r="Q75" i="3" s="1"/>
  <c r="O74" i="3"/>
  <c r="O75" i="3" s="1"/>
  <c r="N74" i="3"/>
  <c r="N75" i="3" s="1"/>
  <c r="L74" i="3"/>
  <c r="L75" i="3" s="1"/>
  <c r="K74" i="3"/>
  <c r="K75" i="3" s="1"/>
  <c r="I74" i="3"/>
  <c r="I75" i="3" s="1"/>
  <c r="AS71" i="3"/>
  <c r="AS72" i="3" s="1"/>
  <c r="AR71" i="3"/>
  <c r="AR72" i="3" s="1"/>
  <c r="AP71" i="3"/>
  <c r="AP72" i="3" s="1"/>
  <c r="AO71" i="3"/>
  <c r="AO72" i="3" s="1"/>
  <c r="AM71" i="3"/>
  <c r="AM72" i="3" s="1"/>
  <c r="AL71" i="3"/>
  <c r="AL72" i="3" s="1"/>
  <c r="AJ71" i="3"/>
  <c r="AJ72" i="3" s="1"/>
  <c r="AI71" i="3"/>
  <c r="AI72" i="3" s="1"/>
  <c r="AG71" i="3"/>
  <c r="AF71" i="3"/>
  <c r="AD71" i="3"/>
  <c r="AC71" i="3"/>
  <c r="AA71" i="3"/>
  <c r="AA72" i="3" s="1"/>
  <c r="Z71" i="3"/>
  <c r="Z72" i="3" s="1"/>
  <c r="X71" i="3"/>
  <c r="W71" i="3"/>
  <c r="U71" i="3"/>
  <c r="U72" i="3" s="1"/>
  <c r="T71" i="3"/>
  <c r="T72" i="3" s="1"/>
  <c r="R71" i="3"/>
  <c r="R72" i="3" s="1"/>
  <c r="Q71" i="3"/>
  <c r="Q72" i="3" s="1"/>
  <c r="O71" i="3"/>
  <c r="O72" i="3" s="1"/>
  <c r="N71" i="3"/>
  <c r="N72" i="3" s="1"/>
  <c r="L71" i="3"/>
  <c r="L72" i="3" s="1"/>
  <c r="K71" i="3"/>
  <c r="K72" i="3" s="1"/>
  <c r="I71" i="3"/>
  <c r="I72" i="3" s="1"/>
  <c r="AS68" i="3"/>
  <c r="AS69" i="3" s="1"/>
  <c r="AR68" i="3"/>
  <c r="AR69" i="3" s="1"/>
  <c r="AP68" i="3"/>
  <c r="AP69" i="3" s="1"/>
  <c r="AO68" i="3"/>
  <c r="AO69" i="3" s="1"/>
  <c r="AM68" i="3"/>
  <c r="AM69" i="3" s="1"/>
  <c r="AL68" i="3"/>
  <c r="AL69" i="3" s="1"/>
  <c r="AJ68" i="3"/>
  <c r="AJ69" i="3" s="1"/>
  <c r="AI68" i="3"/>
  <c r="AI69" i="3" s="1"/>
  <c r="AG68" i="3"/>
  <c r="AG69" i="3" s="1"/>
  <c r="AF68" i="3"/>
  <c r="AF69" i="3" s="1"/>
  <c r="AD68" i="3"/>
  <c r="AD69" i="3" s="1"/>
  <c r="AC68" i="3"/>
  <c r="AC69" i="3" s="1"/>
  <c r="AA68" i="3"/>
  <c r="AA69" i="3" s="1"/>
  <c r="Z68" i="3"/>
  <c r="Z69" i="3" s="1"/>
  <c r="X68" i="3"/>
  <c r="W68" i="3"/>
  <c r="U68" i="3"/>
  <c r="U69" i="3" s="1"/>
  <c r="T68" i="3"/>
  <c r="T69" i="3" s="1"/>
  <c r="R68" i="3"/>
  <c r="R69" i="3" s="1"/>
  <c r="Q68" i="3"/>
  <c r="Q69" i="3" s="1"/>
  <c r="O68" i="3"/>
  <c r="O69" i="3" s="1"/>
  <c r="N68" i="3"/>
  <c r="N69" i="3" s="1"/>
  <c r="L68" i="3"/>
  <c r="L69" i="3" s="1"/>
  <c r="K68" i="3"/>
  <c r="K69" i="3" s="1"/>
  <c r="I68" i="3"/>
  <c r="I69" i="3" s="1"/>
  <c r="AG65" i="3"/>
  <c r="AG66" i="3" s="1"/>
  <c r="AF65" i="3"/>
  <c r="AF66" i="3" s="1"/>
  <c r="AD65" i="3"/>
  <c r="AD66" i="3" s="1"/>
  <c r="AC65" i="3"/>
  <c r="AC66" i="3" s="1"/>
  <c r="AA65" i="3"/>
  <c r="Z65" i="3"/>
  <c r="Z66" i="3" s="1"/>
  <c r="X65" i="3"/>
  <c r="W65" i="3"/>
  <c r="AX65" i="3" s="1"/>
  <c r="U65" i="3"/>
  <c r="U66" i="3" s="1"/>
  <c r="T65" i="3"/>
  <c r="T66" i="3" s="1"/>
  <c r="R65" i="3"/>
  <c r="R66" i="3" s="1"/>
  <c r="Q65" i="3"/>
  <c r="Q66" i="3" s="1"/>
  <c r="O65" i="3"/>
  <c r="O66" i="3" s="1"/>
  <c r="N65" i="3"/>
  <c r="N66" i="3" s="1"/>
  <c r="L65" i="3"/>
  <c r="L66" i="3" s="1"/>
  <c r="K65" i="3"/>
  <c r="K66" i="3" s="1"/>
  <c r="I65" i="3"/>
  <c r="I66" i="3" s="1"/>
  <c r="AG62" i="3"/>
  <c r="AG63" i="3" s="1"/>
  <c r="AF62" i="3"/>
  <c r="AF63" i="3" s="1"/>
  <c r="AD62" i="3"/>
  <c r="AD63" i="3" s="1"/>
  <c r="AC62" i="3"/>
  <c r="AC63" i="3" s="1"/>
  <c r="AA62" i="3"/>
  <c r="AA63" i="3" s="1"/>
  <c r="Z62" i="3"/>
  <c r="Z63" i="3" s="1"/>
  <c r="X62" i="3"/>
  <c r="W62" i="3"/>
  <c r="U62" i="3"/>
  <c r="U63" i="3" s="1"/>
  <c r="T62" i="3"/>
  <c r="T63" i="3" s="1"/>
  <c r="R62" i="3"/>
  <c r="R63" i="3" s="1"/>
  <c r="Q62" i="3"/>
  <c r="Q63" i="3" s="1"/>
  <c r="O62" i="3"/>
  <c r="O63" i="3" s="1"/>
  <c r="N62" i="3"/>
  <c r="N63" i="3" s="1"/>
  <c r="L62" i="3"/>
  <c r="L63" i="3" s="1"/>
  <c r="K62" i="3"/>
  <c r="K63" i="3" s="1"/>
  <c r="I62" i="3"/>
  <c r="I63" i="3" s="1"/>
  <c r="AS59" i="3"/>
  <c r="AS60" i="3" s="1"/>
  <c r="AR59" i="3"/>
  <c r="AR60" i="3" s="1"/>
  <c r="AP59" i="3"/>
  <c r="AP60" i="3" s="1"/>
  <c r="AO59" i="3"/>
  <c r="AO60" i="3" s="1"/>
  <c r="AM59" i="3"/>
  <c r="AM60" i="3" s="1"/>
  <c r="AL59" i="3"/>
  <c r="AL60" i="3" s="1"/>
  <c r="AI59" i="3"/>
  <c r="AI60" i="3" s="1"/>
  <c r="AF59" i="3"/>
  <c r="AF60" i="3" s="1"/>
  <c r="AD59" i="3"/>
  <c r="AD60" i="3" s="1"/>
  <c r="AC59" i="3"/>
  <c r="AC60" i="3" s="1"/>
  <c r="AA59" i="3"/>
  <c r="AA60" i="3" s="1"/>
  <c r="Z59" i="3"/>
  <c r="Z60" i="3" s="1"/>
  <c r="X59" i="3"/>
  <c r="W59" i="3"/>
  <c r="U59" i="3"/>
  <c r="U60" i="3" s="1"/>
  <c r="T59" i="3"/>
  <c r="T60" i="3" s="1"/>
  <c r="R59" i="3"/>
  <c r="R60" i="3" s="1"/>
  <c r="Q59" i="3"/>
  <c r="Q60" i="3" s="1"/>
  <c r="O59" i="3"/>
  <c r="O60" i="3" s="1"/>
  <c r="N59" i="3"/>
  <c r="N60" i="3" s="1"/>
  <c r="L59" i="3"/>
  <c r="L60" i="3" s="1"/>
  <c r="K59" i="3"/>
  <c r="K60" i="3" s="1"/>
  <c r="I59" i="3"/>
  <c r="I60" i="3" s="1"/>
  <c r="AS56" i="3"/>
  <c r="AS57" i="3" s="1"/>
  <c r="AR56" i="3"/>
  <c r="AR57" i="3" s="1"/>
  <c r="AP56" i="3"/>
  <c r="AP57" i="3" s="1"/>
  <c r="AO56" i="3"/>
  <c r="AO57" i="3" s="1"/>
  <c r="AM56" i="3"/>
  <c r="AM57" i="3" s="1"/>
  <c r="AL56" i="3"/>
  <c r="AL57" i="3" s="1"/>
  <c r="AJ56" i="3"/>
  <c r="AJ57" i="3" s="1"/>
  <c r="AI56" i="3"/>
  <c r="AI57" i="3" s="1"/>
  <c r="AG56" i="3"/>
  <c r="AG57" i="3" s="1"/>
  <c r="AF56" i="3"/>
  <c r="AF57" i="3" s="1"/>
  <c r="AD56" i="3"/>
  <c r="AD57" i="3" s="1"/>
  <c r="AC56" i="3"/>
  <c r="AC57" i="3" s="1"/>
  <c r="AA56" i="3"/>
  <c r="AA57" i="3" s="1"/>
  <c r="Z56" i="3"/>
  <c r="Z57" i="3" s="1"/>
  <c r="X56" i="3"/>
  <c r="W56" i="3"/>
  <c r="U56" i="3"/>
  <c r="U57" i="3" s="1"/>
  <c r="T56" i="3"/>
  <c r="T57" i="3" s="1"/>
  <c r="R56" i="3"/>
  <c r="R57" i="3" s="1"/>
  <c r="Q56" i="3"/>
  <c r="Q57" i="3" s="1"/>
  <c r="O56" i="3"/>
  <c r="O57" i="3" s="1"/>
  <c r="N56" i="3"/>
  <c r="N57" i="3" s="1"/>
  <c r="L56" i="3"/>
  <c r="L57" i="3" s="1"/>
  <c r="K56" i="3"/>
  <c r="K57" i="3" s="1"/>
  <c r="I56" i="3"/>
  <c r="I57" i="3" s="1"/>
  <c r="AS53" i="3"/>
  <c r="AS54" i="3" s="1"/>
  <c r="AR53" i="3"/>
  <c r="AR54" i="3" s="1"/>
  <c r="AP53" i="3"/>
  <c r="AP54" i="3" s="1"/>
  <c r="AO53" i="3"/>
  <c r="AO54" i="3" s="1"/>
  <c r="AM53" i="3"/>
  <c r="AM54" i="3" s="1"/>
  <c r="AL53" i="3"/>
  <c r="AL54" i="3" s="1"/>
  <c r="AJ53" i="3"/>
  <c r="AJ54" i="3" s="1"/>
  <c r="AI53" i="3"/>
  <c r="AI54" i="3" s="1"/>
  <c r="AG53" i="3"/>
  <c r="AG54" i="3" s="1"/>
  <c r="AF53" i="3"/>
  <c r="AF54" i="3" s="1"/>
  <c r="AD53" i="3"/>
  <c r="AD54" i="3" s="1"/>
  <c r="AC53" i="3"/>
  <c r="AC54" i="3" s="1"/>
  <c r="AA53" i="3"/>
  <c r="AA54" i="3" s="1"/>
  <c r="Z53" i="3"/>
  <c r="X53" i="3"/>
  <c r="W53" i="3"/>
  <c r="U53" i="3"/>
  <c r="U54" i="3" s="1"/>
  <c r="T53" i="3"/>
  <c r="T54" i="3" s="1"/>
  <c r="R53" i="3"/>
  <c r="R54" i="3" s="1"/>
  <c r="Q53" i="3"/>
  <c r="Q54" i="3" s="1"/>
  <c r="O53" i="3"/>
  <c r="O54" i="3" s="1"/>
  <c r="N53" i="3"/>
  <c r="N54" i="3" s="1"/>
  <c r="L53" i="3"/>
  <c r="L54" i="3" s="1"/>
  <c r="K53" i="3"/>
  <c r="K54" i="3" s="1"/>
  <c r="I53" i="3"/>
  <c r="I54" i="3" s="1"/>
  <c r="AS50" i="3"/>
  <c r="AS51" i="3" s="1"/>
  <c r="AR50" i="3"/>
  <c r="AR51" i="3" s="1"/>
  <c r="AP50" i="3"/>
  <c r="AP51" i="3" s="1"/>
  <c r="AO50" i="3"/>
  <c r="AO51" i="3" s="1"/>
  <c r="AM50" i="3"/>
  <c r="AM51" i="3" s="1"/>
  <c r="AL50" i="3"/>
  <c r="AL51" i="3" s="1"/>
  <c r="AJ50" i="3"/>
  <c r="AJ51" i="3" s="1"/>
  <c r="AI50" i="3"/>
  <c r="AI51" i="3" s="1"/>
  <c r="AG50" i="3"/>
  <c r="AG51" i="3" s="1"/>
  <c r="AF50" i="3"/>
  <c r="AF51" i="3" s="1"/>
  <c r="AD50" i="3"/>
  <c r="AD51" i="3" s="1"/>
  <c r="AC50" i="3"/>
  <c r="AA50" i="3"/>
  <c r="Z50" i="3"/>
  <c r="Z51" i="3" s="1"/>
  <c r="X50" i="3"/>
  <c r="W50" i="3"/>
  <c r="U50" i="3"/>
  <c r="U51" i="3" s="1"/>
  <c r="T50" i="3"/>
  <c r="T51" i="3" s="1"/>
  <c r="R50" i="3"/>
  <c r="R51" i="3" s="1"/>
  <c r="Q50" i="3"/>
  <c r="Q51" i="3" s="1"/>
  <c r="O50" i="3"/>
  <c r="O51" i="3" s="1"/>
  <c r="N50" i="3"/>
  <c r="N51" i="3" s="1"/>
  <c r="L50" i="3"/>
  <c r="L51" i="3" s="1"/>
  <c r="K50" i="3"/>
  <c r="K51" i="3" s="1"/>
  <c r="I50" i="3"/>
  <c r="I51" i="3" s="1"/>
  <c r="AS47" i="3"/>
  <c r="AS48" i="3" s="1"/>
  <c r="AR47" i="3"/>
  <c r="AR48" i="3" s="1"/>
  <c r="AP47" i="3"/>
  <c r="AP48" i="3" s="1"/>
  <c r="AO47" i="3"/>
  <c r="AO48" i="3" s="1"/>
  <c r="AM47" i="3"/>
  <c r="AM48" i="3" s="1"/>
  <c r="AL47" i="3"/>
  <c r="AL48" i="3" s="1"/>
  <c r="AJ47" i="3"/>
  <c r="AJ48" i="3" s="1"/>
  <c r="AI47" i="3"/>
  <c r="AI48" i="3" s="1"/>
  <c r="AG47" i="3"/>
  <c r="AG48" i="3" s="1"/>
  <c r="AF47" i="3"/>
  <c r="AF48" i="3" s="1"/>
  <c r="AD47" i="3"/>
  <c r="AD48" i="3" s="1"/>
  <c r="AC47" i="3"/>
  <c r="AC48" i="3" s="1"/>
  <c r="AA47" i="3"/>
  <c r="AA48" i="3" s="1"/>
  <c r="Z47" i="3"/>
  <c r="Z48" i="3" s="1"/>
  <c r="X47" i="3"/>
  <c r="W47" i="3"/>
  <c r="U47" i="3"/>
  <c r="U48" i="3" s="1"/>
  <c r="T47" i="3"/>
  <c r="T48" i="3" s="1"/>
  <c r="R47" i="3"/>
  <c r="R48" i="3" s="1"/>
  <c r="Q47" i="3"/>
  <c r="Q48" i="3" s="1"/>
  <c r="O47" i="3"/>
  <c r="O48" i="3" s="1"/>
  <c r="N47" i="3"/>
  <c r="N48" i="3" s="1"/>
  <c r="L47" i="3"/>
  <c r="L48" i="3" s="1"/>
  <c r="K47" i="3"/>
  <c r="K48" i="3" s="1"/>
  <c r="I47" i="3"/>
  <c r="I48" i="3" s="1"/>
  <c r="AS44" i="3"/>
  <c r="AS45" i="3" s="1"/>
  <c r="AR44" i="3"/>
  <c r="AR45" i="3" s="1"/>
  <c r="AP44" i="3"/>
  <c r="AP45" i="3" s="1"/>
  <c r="AO44" i="3"/>
  <c r="AO45" i="3" s="1"/>
  <c r="AM44" i="3"/>
  <c r="AM45" i="3" s="1"/>
  <c r="AL44" i="3"/>
  <c r="AL45" i="3" s="1"/>
  <c r="AJ44" i="3"/>
  <c r="AJ45" i="3" s="1"/>
  <c r="AI44" i="3"/>
  <c r="AI45" i="3" s="1"/>
  <c r="AG44" i="3"/>
  <c r="AF44" i="3"/>
  <c r="AD44" i="3"/>
  <c r="AC44" i="3"/>
  <c r="AA44" i="3"/>
  <c r="Z44" i="3"/>
  <c r="X44" i="3"/>
  <c r="W44" i="3"/>
  <c r="U44" i="3"/>
  <c r="U45" i="3" s="1"/>
  <c r="T44" i="3"/>
  <c r="T45" i="3" s="1"/>
  <c r="R44" i="3"/>
  <c r="R45" i="3" s="1"/>
  <c r="Q44" i="3"/>
  <c r="Q45" i="3" s="1"/>
  <c r="O44" i="3"/>
  <c r="O45" i="3" s="1"/>
  <c r="N44" i="3"/>
  <c r="N45" i="3" s="1"/>
  <c r="L44" i="3"/>
  <c r="L45" i="3" s="1"/>
  <c r="K44" i="3"/>
  <c r="K45" i="3" s="1"/>
  <c r="I44" i="3"/>
  <c r="I45" i="3" s="1"/>
  <c r="AS41" i="3"/>
  <c r="AS42" i="3" s="1"/>
  <c r="AR41" i="3"/>
  <c r="AR42" i="3" s="1"/>
  <c r="AP41" i="3"/>
  <c r="AP42" i="3" s="1"/>
  <c r="AO41" i="3"/>
  <c r="AO42" i="3" s="1"/>
  <c r="AM41" i="3"/>
  <c r="AM42" i="3" s="1"/>
  <c r="AL41" i="3"/>
  <c r="AL42" i="3" s="1"/>
  <c r="AJ41" i="3"/>
  <c r="AJ42" i="3" s="1"/>
  <c r="AI41" i="3"/>
  <c r="AI42" i="3" s="1"/>
  <c r="AG41" i="3"/>
  <c r="AG42" i="3" s="1"/>
  <c r="AF41" i="3"/>
  <c r="AF42" i="3" s="1"/>
  <c r="AD41" i="3"/>
  <c r="AD42" i="3" s="1"/>
  <c r="AC41" i="3"/>
  <c r="AC42" i="3" s="1"/>
  <c r="AA41" i="3"/>
  <c r="AA42" i="3" s="1"/>
  <c r="Z41" i="3"/>
  <c r="Z42" i="3" s="1"/>
  <c r="X41" i="3"/>
  <c r="AY41" i="3" s="1"/>
  <c r="W41" i="3"/>
  <c r="U41" i="3"/>
  <c r="U42" i="3" s="1"/>
  <c r="T41" i="3"/>
  <c r="T42" i="3" s="1"/>
  <c r="R41" i="3"/>
  <c r="R42" i="3" s="1"/>
  <c r="Q41" i="3"/>
  <c r="Q42" i="3" s="1"/>
  <c r="O41" i="3"/>
  <c r="O42" i="3" s="1"/>
  <c r="N41" i="3"/>
  <c r="N42" i="3" s="1"/>
  <c r="L41" i="3"/>
  <c r="L42" i="3" s="1"/>
  <c r="K42" i="3"/>
  <c r="I41" i="3"/>
  <c r="I42" i="3" s="1"/>
  <c r="AS38" i="3"/>
  <c r="AS39" i="3" s="1"/>
  <c r="AR38" i="3"/>
  <c r="AR39" i="3" s="1"/>
  <c r="AP38" i="3"/>
  <c r="AP39" i="3" s="1"/>
  <c r="AO38" i="3"/>
  <c r="AO39" i="3" s="1"/>
  <c r="AM38" i="3"/>
  <c r="AM39" i="3" s="1"/>
  <c r="AL38" i="3"/>
  <c r="AL39" i="3" s="1"/>
  <c r="AJ38" i="3"/>
  <c r="AJ39" i="3" s="1"/>
  <c r="AI38" i="3"/>
  <c r="AI39" i="3" s="1"/>
  <c r="AG38" i="3"/>
  <c r="AF38" i="3"/>
  <c r="AD38" i="3"/>
  <c r="AC38" i="3"/>
  <c r="AA38" i="3"/>
  <c r="Z38" i="3"/>
  <c r="X38" i="3"/>
  <c r="W38" i="3"/>
  <c r="U38" i="3"/>
  <c r="U39" i="3" s="1"/>
  <c r="T38" i="3"/>
  <c r="T39" i="3" s="1"/>
  <c r="R38" i="3"/>
  <c r="Q38" i="3"/>
  <c r="O38" i="3"/>
  <c r="O39" i="3" s="1"/>
  <c r="N38" i="3"/>
  <c r="N39" i="3" s="1"/>
  <c r="L38" i="3"/>
  <c r="L39" i="3" s="1"/>
  <c r="K38" i="3"/>
  <c r="K39" i="3" s="1"/>
  <c r="I38" i="3"/>
  <c r="I39" i="3" s="1"/>
  <c r="AS35" i="3"/>
  <c r="AS36" i="3" s="1"/>
  <c r="AR35" i="3"/>
  <c r="AR36" i="3" s="1"/>
  <c r="AP35" i="3"/>
  <c r="AP36" i="3" s="1"/>
  <c r="AO35" i="3"/>
  <c r="AO36" i="3" s="1"/>
  <c r="AM35" i="3"/>
  <c r="AM36" i="3" s="1"/>
  <c r="AL35" i="3"/>
  <c r="AL36" i="3" s="1"/>
  <c r="AJ35" i="3"/>
  <c r="AJ36" i="3" s="1"/>
  <c r="AI35" i="3"/>
  <c r="AI36" i="3" s="1"/>
  <c r="AG35" i="3"/>
  <c r="AG36" i="3" s="1"/>
  <c r="AF35" i="3"/>
  <c r="AF36" i="3" s="1"/>
  <c r="AD35" i="3"/>
  <c r="AD36" i="3" s="1"/>
  <c r="AC35" i="3"/>
  <c r="AC36" i="3" s="1"/>
  <c r="AA35" i="3"/>
  <c r="AA36" i="3" s="1"/>
  <c r="Z35" i="3"/>
  <c r="Z36" i="3" s="1"/>
  <c r="X35" i="3"/>
  <c r="W35" i="3"/>
  <c r="U35" i="3"/>
  <c r="U36" i="3" s="1"/>
  <c r="T35" i="3"/>
  <c r="T36" i="3" s="1"/>
  <c r="R35" i="3"/>
  <c r="Q35" i="3"/>
  <c r="O35" i="3"/>
  <c r="O36" i="3" s="1"/>
  <c r="N35" i="3"/>
  <c r="N36" i="3" s="1"/>
  <c r="L35" i="3"/>
  <c r="L36" i="3" s="1"/>
  <c r="K35" i="3"/>
  <c r="K36" i="3" s="1"/>
  <c r="I35" i="3"/>
  <c r="I36" i="3" s="1"/>
  <c r="AS32" i="3"/>
  <c r="AS33" i="3" s="1"/>
  <c r="AR32" i="3"/>
  <c r="AR33" i="3" s="1"/>
  <c r="AP32" i="3"/>
  <c r="AP33" i="3" s="1"/>
  <c r="AO32" i="3"/>
  <c r="AO33" i="3" s="1"/>
  <c r="AM32" i="3"/>
  <c r="AM33" i="3" s="1"/>
  <c r="AL32" i="3"/>
  <c r="AL33" i="3" s="1"/>
  <c r="AJ32" i="3"/>
  <c r="AJ33" i="3" s="1"/>
  <c r="AI32" i="3"/>
  <c r="AI33" i="3" s="1"/>
  <c r="AG32" i="3"/>
  <c r="AG33" i="3" s="1"/>
  <c r="AF32" i="3"/>
  <c r="AF33" i="3" s="1"/>
  <c r="AD32" i="3"/>
  <c r="AD33" i="3" s="1"/>
  <c r="AC32" i="3"/>
  <c r="AC33" i="3" s="1"/>
  <c r="AA32" i="3"/>
  <c r="AA33" i="3" s="1"/>
  <c r="Z32" i="3"/>
  <c r="Z33" i="3" s="1"/>
  <c r="X32" i="3"/>
  <c r="W32" i="3"/>
  <c r="U32" i="3"/>
  <c r="U33" i="3" s="1"/>
  <c r="T32" i="3"/>
  <c r="T33" i="3" s="1"/>
  <c r="R32" i="3"/>
  <c r="Q32" i="3"/>
  <c r="O32" i="3"/>
  <c r="O33" i="3" s="1"/>
  <c r="N32" i="3"/>
  <c r="N33" i="3" s="1"/>
  <c r="L32" i="3"/>
  <c r="L33" i="3" s="1"/>
  <c r="K32" i="3"/>
  <c r="K33" i="3" s="1"/>
  <c r="I32" i="3"/>
  <c r="I33" i="3" s="1"/>
  <c r="AS29" i="3"/>
  <c r="AS30" i="3" s="1"/>
  <c r="AR29" i="3"/>
  <c r="AR30" i="3" s="1"/>
  <c r="AP29" i="3"/>
  <c r="AP30" i="3" s="1"/>
  <c r="AO29" i="3"/>
  <c r="AO30" i="3" s="1"/>
  <c r="AM29" i="3"/>
  <c r="AM30" i="3" s="1"/>
  <c r="AL29" i="3"/>
  <c r="AL30" i="3" s="1"/>
  <c r="AJ29" i="3"/>
  <c r="AJ30" i="3" s="1"/>
  <c r="AI29" i="3"/>
  <c r="AI30" i="3" s="1"/>
  <c r="AG29" i="3"/>
  <c r="AG30" i="3" s="1"/>
  <c r="AF29" i="3"/>
  <c r="AF30" i="3" s="1"/>
  <c r="AD29" i="3"/>
  <c r="AD30" i="3" s="1"/>
  <c r="AC29" i="3"/>
  <c r="AC30" i="3" s="1"/>
  <c r="AA29" i="3"/>
  <c r="AA30" i="3" s="1"/>
  <c r="Z29" i="3"/>
  <c r="Z30" i="3" s="1"/>
  <c r="X29" i="3"/>
  <c r="W29" i="3"/>
  <c r="U29" i="3"/>
  <c r="U30" i="3" s="1"/>
  <c r="T29" i="3"/>
  <c r="T30" i="3" s="1"/>
  <c r="R29" i="3"/>
  <c r="Q29" i="3"/>
  <c r="O29" i="3"/>
  <c r="O30" i="3" s="1"/>
  <c r="N29" i="3"/>
  <c r="N30" i="3" s="1"/>
  <c r="L29" i="3"/>
  <c r="L30" i="3" s="1"/>
  <c r="K29" i="3"/>
  <c r="K30" i="3" s="1"/>
  <c r="I29" i="3"/>
  <c r="I30" i="3" s="1"/>
  <c r="AS26" i="3"/>
  <c r="AS27" i="3" s="1"/>
  <c r="AR26" i="3"/>
  <c r="AR27" i="3" s="1"/>
  <c r="AP26" i="3"/>
  <c r="AP27" i="3" s="1"/>
  <c r="AO26" i="3"/>
  <c r="AO27" i="3" s="1"/>
  <c r="AM26" i="3"/>
  <c r="AM27" i="3" s="1"/>
  <c r="AL26" i="3"/>
  <c r="AL27" i="3" s="1"/>
  <c r="AJ26" i="3"/>
  <c r="AJ27" i="3" s="1"/>
  <c r="AI26" i="3"/>
  <c r="AI27" i="3" s="1"/>
  <c r="AG26" i="3"/>
  <c r="AG27" i="3" s="1"/>
  <c r="AF26" i="3"/>
  <c r="AF27" i="3" s="1"/>
  <c r="AD26" i="3"/>
  <c r="AD27" i="3" s="1"/>
  <c r="AC26" i="3"/>
  <c r="AC27" i="3" s="1"/>
  <c r="AA26" i="3"/>
  <c r="AA27" i="3" s="1"/>
  <c r="Z26" i="3"/>
  <c r="Z27" i="3" s="1"/>
  <c r="X26" i="3"/>
  <c r="W26" i="3"/>
  <c r="U26" i="3"/>
  <c r="U27" i="3" s="1"/>
  <c r="T26" i="3"/>
  <c r="T27" i="3" s="1"/>
  <c r="R26" i="3"/>
  <c r="Q26" i="3"/>
  <c r="O26" i="3"/>
  <c r="O27" i="3" s="1"/>
  <c r="N26" i="3"/>
  <c r="N27" i="3" s="1"/>
  <c r="L26" i="3"/>
  <c r="L27" i="3" s="1"/>
  <c r="K26" i="3"/>
  <c r="K27" i="3" s="1"/>
  <c r="I26" i="3"/>
  <c r="I27" i="3" s="1"/>
  <c r="AS23" i="3"/>
  <c r="AS24" i="3" s="1"/>
  <c r="AR23" i="3"/>
  <c r="AR24" i="3" s="1"/>
  <c r="AP23" i="3"/>
  <c r="AP24" i="3" s="1"/>
  <c r="AO23" i="3"/>
  <c r="AO24" i="3" s="1"/>
  <c r="AM23" i="3"/>
  <c r="AM24" i="3" s="1"/>
  <c r="AL23" i="3"/>
  <c r="AL24" i="3" s="1"/>
  <c r="AJ23" i="3"/>
  <c r="AJ24" i="3" s="1"/>
  <c r="AI23" i="3"/>
  <c r="AI24" i="3" s="1"/>
  <c r="AG23" i="3"/>
  <c r="AG24" i="3" s="1"/>
  <c r="AF23" i="3"/>
  <c r="AF24" i="3" s="1"/>
  <c r="AD23" i="3"/>
  <c r="AD24" i="3" s="1"/>
  <c r="AC23" i="3"/>
  <c r="AC24" i="3" s="1"/>
  <c r="AA23" i="3"/>
  <c r="AA24" i="3" s="1"/>
  <c r="Z23" i="3"/>
  <c r="Z24" i="3" s="1"/>
  <c r="X23" i="3"/>
  <c r="W23" i="3"/>
  <c r="U23" i="3"/>
  <c r="U24" i="3" s="1"/>
  <c r="T23" i="3"/>
  <c r="T24" i="3" s="1"/>
  <c r="R23" i="3"/>
  <c r="R24" i="3" s="1"/>
  <c r="Q23" i="3"/>
  <c r="Q24" i="3" s="1"/>
  <c r="O23" i="3"/>
  <c r="O24" i="3" s="1"/>
  <c r="N23" i="3"/>
  <c r="N24" i="3" s="1"/>
  <c r="L23" i="3"/>
  <c r="L24" i="3" s="1"/>
  <c r="K23" i="3"/>
  <c r="K24" i="3" s="1"/>
  <c r="I23" i="3"/>
  <c r="I24" i="3" s="1"/>
  <c r="H23" i="3"/>
  <c r="H24" i="3" s="1"/>
  <c r="AS20" i="3"/>
  <c r="AS21" i="3" s="1"/>
  <c r="AR20" i="3"/>
  <c r="AR21" i="3" s="1"/>
  <c r="AP20" i="3"/>
  <c r="AP21" i="3" s="1"/>
  <c r="AO20" i="3"/>
  <c r="AO21" i="3" s="1"/>
  <c r="AM20" i="3"/>
  <c r="AM21" i="3" s="1"/>
  <c r="AL20" i="3"/>
  <c r="AL21" i="3" s="1"/>
  <c r="AJ20" i="3"/>
  <c r="AJ21" i="3" s="1"/>
  <c r="AI20" i="3"/>
  <c r="AI21" i="3" s="1"/>
  <c r="AG20" i="3"/>
  <c r="AG21" i="3" s="1"/>
  <c r="AF20" i="3"/>
  <c r="AF21" i="3" s="1"/>
  <c r="AD20" i="3"/>
  <c r="AD21" i="3" s="1"/>
  <c r="AC20" i="3"/>
  <c r="AC21" i="3" s="1"/>
  <c r="AA20" i="3"/>
  <c r="AA21" i="3" s="1"/>
  <c r="Z20" i="3"/>
  <c r="Z21" i="3" s="1"/>
  <c r="X20" i="3"/>
  <c r="W20" i="3"/>
  <c r="U20" i="3"/>
  <c r="U21" i="3" s="1"/>
  <c r="T20" i="3"/>
  <c r="T21" i="3" s="1"/>
  <c r="R20" i="3"/>
  <c r="Q20" i="3"/>
  <c r="O20" i="3"/>
  <c r="O21" i="3" s="1"/>
  <c r="N20" i="3"/>
  <c r="N21" i="3" s="1"/>
  <c r="L20" i="3"/>
  <c r="L21" i="3" s="1"/>
  <c r="K20" i="3"/>
  <c r="K21" i="3" s="1"/>
  <c r="I20" i="3"/>
  <c r="I21" i="3" s="1"/>
  <c r="H20" i="3"/>
  <c r="H21" i="3" s="1"/>
  <c r="AS17" i="3"/>
  <c r="AS18" i="3" s="1"/>
  <c r="AR17" i="3"/>
  <c r="AR18" i="3" s="1"/>
  <c r="AP17" i="3"/>
  <c r="AP18" i="3" s="1"/>
  <c r="AO17" i="3"/>
  <c r="AO18" i="3" s="1"/>
  <c r="AM17" i="3"/>
  <c r="AM18" i="3" s="1"/>
  <c r="AL17" i="3"/>
  <c r="AL18" i="3" s="1"/>
  <c r="AJ17" i="3"/>
  <c r="AJ18" i="3" s="1"/>
  <c r="AI17" i="3"/>
  <c r="AI18" i="3" s="1"/>
  <c r="AG17" i="3"/>
  <c r="AG18" i="3" s="1"/>
  <c r="AF17" i="3"/>
  <c r="AF18" i="3" s="1"/>
  <c r="AD17" i="3"/>
  <c r="AD18" i="3" s="1"/>
  <c r="AC17" i="3"/>
  <c r="AC18" i="3" s="1"/>
  <c r="AA17" i="3"/>
  <c r="AA18" i="3" s="1"/>
  <c r="Z17" i="3"/>
  <c r="Z18" i="3" s="1"/>
  <c r="X17" i="3"/>
  <c r="W17" i="3"/>
  <c r="U17" i="3"/>
  <c r="U18" i="3" s="1"/>
  <c r="T17" i="3"/>
  <c r="T18" i="3" s="1"/>
  <c r="R17" i="3"/>
  <c r="Q17" i="3"/>
  <c r="O17" i="3"/>
  <c r="O18" i="3" s="1"/>
  <c r="N17" i="3"/>
  <c r="N18" i="3" s="1"/>
  <c r="L17" i="3"/>
  <c r="L18" i="3" s="1"/>
  <c r="K17" i="3"/>
  <c r="K18" i="3" s="1"/>
  <c r="I17" i="3"/>
  <c r="I18" i="3" s="1"/>
  <c r="H17" i="3"/>
  <c r="H18" i="3" s="1"/>
  <c r="AS14" i="3"/>
  <c r="AS15" i="3" s="1"/>
  <c r="AR14" i="3"/>
  <c r="AR15" i="3" s="1"/>
  <c r="AP14" i="3"/>
  <c r="AP15" i="3" s="1"/>
  <c r="AO14" i="3"/>
  <c r="AO15" i="3" s="1"/>
  <c r="AM14" i="3"/>
  <c r="AM15" i="3" s="1"/>
  <c r="AL14" i="3"/>
  <c r="AL15" i="3" s="1"/>
  <c r="AJ14" i="3"/>
  <c r="AJ15" i="3" s="1"/>
  <c r="AI14" i="3"/>
  <c r="AI15" i="3" s="1"/>
  <c r="AG14" i="3"/>
  <c r="AG15" i="3" s="1"/>
  <c r="AF14" i="3"/>
  <c r="AF15" i="3" s="1"/>
  <c r="AD14" i="3"/>
  <c r="AD15" i="3" s="1"/>
  <c r="AC14" i="3"/>
  <c r="AC15" i="3" s="1"/>
  <c r="AA14" i="3"/>
  <c r="AA15" i="3" s="1"/>
  <c r="Z14" i="3"/>
  <c r="Z15" i="3" s="1"/>
  <c r="X14" i="3"/>
  <c r="W14" i="3"/>
  <c r="U14" i="3"/>
  <c r="U15" i="3" s="1"/>
  <c r="T14" i="3"/>
  <c r="T15" i="3" s="1"/>
  <c r="R14" i="3"/>
  <c r="AY14" i="3" s="1"/>
  <c r="Q14" i="3"/>
  <c r="AX14" i="3" s="1"/>
  <c r="AZ13" i="3" s="1"/>
  <c r="BC13" i="3" s="1"/>
  <c r="BF13" i="3" s="1"/>
  <c r="BI13" i="3" s="1"/>
  <c r="O14" i="3"/>
  <c r="O15" i="3" s="1"/>
  <c r="N14" i="3"/>
  <c r="N15" i="3" s="1"/>
  <c r="L14" i="3"/>
  <c r="L15" i="3" s="1"/>
  <c r="K14" i="3"/>
  <c r="K15" i="3" s="1"/>
  <c r="I14" i="3"/>
  <c r="I15" i="3" s="1"/>
  <c r="H14" i="3"/>
  <c r="H15" i="3" s="1"/>
  <c r="AS11" i="3"/>
  <c r="AS12" i="3" s="1"/>
  <c r="AR11" i="3"/>
  <c r="AR12" i="3" s="1"/>
  <c r="AP11" i="3"/>
  <c r="AP12" i="3" s="1"/>
  <c r="AO11" i="3"/>
  <c r="AO12" i="3" s="1"/>
  <c r="AM11" i="3"/>
  <c r="AM12" i="3" s="1"/>
  <c r="AL11" i="3"/>
  <c r="AL12" i="3" s="1"/>
  <c r="AJ11" i="3"/>
  <c r="AJ12" i="3" s="1"/>
  <c r="AI11" i="3"/>
  <c r="AI12" i="3" s="1"/>
  <c r="AG11" i="3"/>
  <c r="AG12" i="3" s="1"/>
  <c r="AF11" i="3"/>
  <c r="AF12" i="3" s="1"/>
  <c r="AD11" i="3"/>
  <c r="AD12" i="3" s="1"/>
  <c r="AC11" i="3"/>
  <c r="AC12" i="3" s="1"/>
  <c r="AA11" i="3"/>
  <c r="AA12" i="3" s="1"/>
  <c r="Z11" i="3"/>
  <c r="Z12" i="3" s="1"/>
  <c r="X11" i="3"/>
  <c r="W11" i="3"/>
  <c r="U11" i="3"/>
  <c r="U12" i="3" s="1"/>
  <c r="T11" i="3"/>
  <c r="T12" i="3" s="1"/>
  <c r="R11" i="3"/>
  <c r="Q11" i="3"/>
  <c r="O11" i="3"/>
  <c r="O12" i="3" s="1"/>
  <c r="N11" i="3"/>
  <c r="N12" i="3" s="1"/>
  <c r="L11" i="3"/>
  <c r="L12" i="3" s="1"/>
  <c r="K11" i="3"/>
  <c r="K12" i="3" s="1"/>
  <c r="I11" i="3"/>
  <c r="I12" i="3" s="1"/>
  <c r="H11" i="3"/>
  <c r="H12" i="3" s="1"/>
  <c r="AI8" i="3"/>
  <c r="AI9" i="3" s="1"/>
  <c r="AS8" i="3"/>
  <c r="AS9" i="3" s="1"/>
  <c r="AR8" i="3"/>
  <c r="AR9" i="3" s="1"/>
  <c r="AP8" i="3"/>
  <c r="AP9" i="3" s="1"/>
  <c r="AO8" i="3"/>
  <c r="AO9" i="3" s="1"/>
  <c r="AM8" i="3"/>
  <c r="AM9" i="3" s="1"/>
  <c r="AL8" i="3"/>
  <c r="AL9" i="3" s="1"/>
  <c r="AJ8" i="3"/>
  <c r="AJ9" i="3" s="1"/>
  <c r="AG8" i="3"/>
  <c r="AG9" i="3" s="1"/>
  <c r="AF8" i="3"/>
  <c r="AF9" i="3" s="1"/>
  <c r="AD8" i="3"/>
  <c r="AD9" i="3" s="1"/>
  <c r="AC8" i="3"/>
  <c r="AC9" i="3" s="1"/>
  <c r="AA8" i="3"/>
  <c r="AA9" i="3" s="1"/>
  <c r="Z8" i="3"/>
  <c r="Z9" i="3" s="1"/>
  <c r="X8" i="3"/>
  <c r="W8" i="3"/>
  <c r="U8" i="3"/>
  <c r="U9" i="3" s="1"/>
  <c r="T8" i="3"/>
  <c r="T9" i="3" s="1"/>
  <c r="R8" i="3"/>
  <c r="Q8" i="3"/>
  <c r="O8" i="3"/>
  <c r="O9" i="3" s="1"/>
  <c r="N8" i="3"/>
  <c r="N9" i="3" s="1"/>
  <c r="L8" i="3"/>
  <c r="L9" i="3" s="1"/>
  <c r="I8" i="3"/>
  <c r="I9" i="3" s="1"/>
  <c r="H8" i="3"/>
  <c r="H9" i="3" s="1"/>
  <c r="K8" i="3"/>
  <c r="K9" i="3" s="1"/>
  <c r="AH91" i="3"/>
  <c r="AH88" i="3"/>
  <c r="AK89" i="3" s="1"/>
  <c r="AK90" i="3" s="1"/>
  <c r="AH73" i="3"/>
  <c r="AH70" i="3"/>
  <c r="AH67" i="3"/>
  <c r="AK68" i="3" s="1"/>
  <c r="AK69" i="3" s="1"/>
  <c r="AH64" i="3"/>
  <c r="AH61" i="3"/>
  <c r="AH55" i="3"/>
  <c r="AK56" i="3" s="1"/>
  <c r="AK57" i="3" s="1"/>
  <c r="AH52" i="3"/>
  <c r="AH49" i="3"/>
  <c r="AH46" i="3"/>
  <c r="AH43" i="3"/>
  <c r="AH40" i="3"/>
  <c r="AH37" i="3"/>
  <c r="AH34" i="3"/>
  <c r="AH31" i="3"/>
  <c r="AH28" i="3"/>
  <c r="AH25" i="3"/>
  <c r="AH22" i="3"/>
  <c r="AH19" i="3"/>
  <c r="AH16" i="3"/>
  <c r="AH13" i="3"/>
  <c r="AH10" i="3"/>
  <c r="AH7" i="3"/>
  <c r="AE91" i="3"/>
  <c r="AE88" i="3"/>
  <c r="AE73" i="3"/>
  <c r="AE70" i="3"/>
  <c r="AE67" i="3"/>
  <c r="AE64" i="3"/>
  <c r="AE61" i="3"/>
  <c r="AE58" i="3"/>
  <c r="AE55" i="3"/>
  <c r="AE52" i="3"/>
  <c r="AE49" i="3"/>
  <c r="AE46" i="3"/>
  <c r="AE43" i="3"/>
  <c r="AE40" i="3"/>
  <c r="AE37" i="3"/>
  <c r="AE34" i="3"/>
  <c r="AE31" i="3"/>
  <c r="AE28" i="3"/>
  <c r="AE25" i="3"/>
  <c r="AE22" i="3"/>
  <c r="AE19" i="3"/>
  <c r="AE16" i="3"/>
  <c r="AE13" i="3"/>
  <c r="AE10" i="3"/>
  <c r="AE7" i="3"/>
  <c r="AB91" i="3"/>
  <c r="AB88" i="3"/>
  <c r="AB73" i="3"/>
  <c r="AB70" i="3"/>
  <c r="AB67" i="3"/>
  <c r="AB64" i="3"/>
  <c r="AB61" i="3"/>
  <c r="AB58" i="3"/>
  <c r="AB55" i="3"/>
  <c r="AB52" i="3"/>
  <c r="AB49" i="3"/>
  <c r="AB46" i="3"/>
  <c r="AB43" i="3"/>
  <c r="AB40" i="3"/>
  <c r="AB37" i="3"/>
  <c r="AB34" i="3"/>
  <c r="AB31" i="3"/>
  <c r="AB28" i="3"/>
  <c r="AB25" i="3"/>
  <c r="AB22" i="3"/>
  <c r="AB19" i="3"/>
  <c r="AB16" i="3"/>
  <c r="AB13" i="3"/>
  <c r="AB10" i="3"/>
  <c r="AB7" i="3"/>
  <c r="Y91" i="3"/>
  <c r="Y88" i="3"/>
  <c r="Y73" i="3"/>
  <c r="Y70" i="3"/>
  <c r="Y67" i="3"/>
  <c r="Y64" i="3"/>
  <c r="Y61" i="3"/>
  <c r="Y58" i="3"/>
  <c r="Y55" i="3"/>
  <c r="Y52" i="3"/>
  <c r="Y49" i="3"/>
  <c r="Y46" i="3"/>
  <c r="Y43" i="3"/>
  <c r="Y40" i="3"/>
  <c r="Y37" i="3"/>
  <c r="Y34" i="3"/>
  <c r="Y31" i="3"/>
  <c r="Y28" i="3"/>
  <c r="Y25" i="3"/>
  <c r="Y22" i="3"/>
  <c r="Y19" i="3"/>
  <c r="Y16" i="3"/>
  <c r="Y13" i="3"/>
  <c r="Y10" i="3"/>
  <c r="Y7" i="3"/>
  <c r="V91" i="3"/>
  <c r="V88" i="3"/>
  <c r="V73" i="3"/>
  <c r="V70" i="3"/>
  <c r="V67" i="3"/>
  <c r="V64" i="3"/>
  <c r="V61" i="3"/>
  <c r="V58" i="3"/>
  <c r="V55" i="3"/>
  <c r="V52" i="3"/>
  <c r="V49" i="3"/>
  <c r="V46" i="3"/>
  <c r="V43" i="3"/>
  <c r="V40" i="3"/>
  <c r="V37" i="3"/>
  <c r="V34" i="3"/>
  <c r="V31" i="3"/>
  <c r="V28" i="3"/>
  <c r="V25" i="3"/>
  <c r="V22" i="3"/>
  <c r="V19" i="3"/>
  <c r="V16" i="3"/>
  <c r="V13" i="3"/>
  <c r="V10" i="3"/>
  <c r="V7" i="3"/>
  <c r="S91" i="3"/>
  <c r="S88" i="3"/>
  <c r="S73" i="3"/>
  <c r="S70" i="3"/>
  <c r="S67" i="3"/>
  <c r="S64" i="3"/>
  <c r="S61" i="3"/>
  <c r="S58" i="3"/>
  <c r="S55" i="3"/>
  <c r="S52" i="3"/>
  <c r="S49" i="3"/>
  <c r="S46" i="3"/>
  <c r="S43" i="3"/>
  <c r="S40" i="3"/>
  <c r="S37" i="3"/>
  <c r="S34" i="3"/>
  <c r="S31" i="3"/>
  <c r="S28" i="3"/>
  <c r="S25" i="3"/>
  <c r="S22" i="3"/>
  <c r="S19" i="3"/>
  <c r="S16" i="3"/>
  <c r="S13" i="3"/>
  <c r="S10" i="3"/>
  <c r="S7" i="3"/>
  <c r="P91" i="3"/>
  <c r="P88" i="3"/>
  <c r="P73" i="3"/>
  <c r="P70" i="3"/>
  <c r="P67" i="3"/>
  <c r="P64" i="3"/>
  <c r="P61" i="3"/>
  <c r="P58" i="3"/>
  <c r="P55" i="3"/>
  <c r="P52" i="3"/>
  <c r="P49" i="3"/>
  <c r="P46" i="3"/>
  <c r="P43" i="3"/>
  <c r="P40" i="3"/>
  <c r="P37" i="3"/>
  <c r="P34" i="3"/>
  <c r="P31" i="3"/>
  <c r="P28" i="3"/>
  <c r="P25" i="3"/>
  <c r="P22" i="3"/>
  <c r="P19" i="3"/>
  <c r="P16" i="3"/>
  <c r="P13" i="3"/>
  <c r="P10" i="3"/>
  <c r="P7" i="3"/>
  <c r="M91" i="3"/>
  <c r="M88" i="3"/>
  <c r="M73" i="3"/>
  <c r="M70" i="3"/>
  <c r="M67" i="3"/>
  <c r="M64" i="3"/>
  <c r="M61" i="3"/>
  <c r="M58" i="3"/>
  <c r="M55" i="3"/>
  <c r="M52" i="3"/>
  <c r="M49" i="3"/>
  <c r="M46" i="3"/>
  <c r="M43" i="3"/>
  <c r="M40" i="3"/>
  <c r="M37" i="3"/>
  <c r="M34" i="3"/>
  <c r="M31" i="3"/>
  <c r="M28" i="3"/>
  <c r="M25" i="3"/>
  <c r="M22" i="3"/>
  <c r="M19" i="3"/>
  <c r="M16" i="3"/>
  <c r="M13" i="3"/>
  <c r="M10" i="3"/>
  <c r="M7" i="3"/>
  <c r="J91" i="3"/>
  <c r="J88" i="3"/>
  <c r="J73" i="3"/>
  <c r="J70" i="3"/>
  <c r="J67" i="3"/>
  <c r="J64" i="3"/>
  <c r="J61" i="3"/>
  <c r="J58" i="3"/>
  <c r="J55" i="3"/>
  <c r="J52" i="3"/>
  <c r="J49" i="3"/>
  <c r="J46" i="3"/>
  <c r="J43" i="3"/>
  <c r="J40" i="3"/>
  <c r="J37" i="3"/>
  <c r="J34" i="3"/>
  <c r="J31" i="3"/>
  <c r="J28" i="3"/>
  <c r="J25" i="3"/>
  <c r="J22" i="3"/>
  <c r="J19" i="3"/>
  <c r="J16" i="3"/>
  <c r="J13" i="3"/>
  <c r="J10" i="3"/>
  <c r="J7" i="3"/>
  <c r="G91" i="3"/>
  <c r="G88" i="3"/>
  <c r="G73" i="3"/>
  <c r="G70" i="3"/>
  <c r="G67" i="3"/>
  <c r="G64" i="3"/>
  <c r="G61" i="3"/>
  <c r="G58" i="3"/>
  <c r="G55" i="3"/>
  <c r="G52" i="3"/>
  <c r="G49" i="3"/>
  <c r="G46" i="3"/>
  <c r="G43" i="3"/>
  <c r="G40" i="3"/>
  <c r="G37" i="3"/>
  <c r="G34" i="3"/>
  <c r="G31" i="3"/>
  <c r="G28" i="3"/>
  <c r="G25" i="3"/>
  <c r="G22" i="3"/>
  <c r="G19" i="3"/>
  <c r="G16" i="3"/>
  <c r="G13" i="3"/>
  <c r="G10" i="3"/>
  <c r="G7" i="3"/>
  <c r="AG58" i="3"/>
  <c r="AY17" i="3" l="1"/>
  <c r="AX20" i="3"/>
  <c r="AY38" i="3"/>
  <c r="AX41" i="3"/>
  <c r="AX44" i="3"/>
  <c r="AA66" i="3"/>
  <c r="AY65" i="3"/>
  <c r="AY44" i="3"/>
  <c r="AX26" i="3"/>
  <c r="AX92" i="3"/>
  <c r="AZ91" i="3" s="1"/>
  <c r="BC91" i="3" s="1"/>
  <c r="BF91" i="3" s="1"/>
  <c r="BI91" i="3" s="1"/>
  <c r="BL91" i="3" s="1"/>
  <c r="AX8" i="3"/>
  <c r="AZ7" i="3" s="1"/>
  <c r="BC7" i="3" s="1"/>
  <c r="AY26" i="3"/>
  <c r="BA25" i="3" s="1"/>
  <c r="BD25" i="3" s="1"/>
  <c r="BG25" i="3" s="1"/>
  <c r="BJ25" i="3" s="1"/>
  <c r="BM25" i="3" s="1"/>
  <c r="AX29" i="3"/>
  <c r="AY29" i="3"/>
  <c r="BA28" i="3" s="1"/>
  <c r="BD28" i="3" s="1"/>
  <c r="BG28" i="3" s="1"/>
  <c r="BJ28" i="3" s="1"/>
  <c r="BM28" i="3" s="1"/>
  <c r="AX32" i="3"/>
  <c r="AX56" i="3"/>
  <c r="AX11" i="3"/>
  <c r="AZ10" i="3" s="1"/>
  <c r="AX23" i="3"/>
  <c r="AY32" i="3"/>
  <c r="AX35" i="3"/>
  <c r="AA51" i="3"/>
  <c r="AY50" i="3"/>
  <c r="Z54" i="3"/>
  <c r="AX53" i="3"/>
  <c r="AZ52" i="3" s="1"/>
  <c r="AY8" i="3"/>
  <c r="BA7" i="3" s="1"/>
  <c r="BD7" i="3" s="1"/>
  <c r="BG7" i="3" s="1"/>
  <c r="BJ7" i="3" s="1"/>
  <c r="BM7" i="3" s="1"/>
  <c r="AY11" i="3"/>
  <c r="AY23" i="3"/>
  <c r="AY35" i="3"/>
  <c r="AX38" i="3"/>
  <c r="AC51" i="3"/>
  <c r="AX50" i="3"/>
  <c r="AZ49" i="3" s="1"/>
  <c r="BC49" i="3" s="1"/>
  <c r="BF49" i="3" s="1"/>
  <c r="BI49" i="3" s="1"/>
  <c r="BL49" i="3" s="1"/>
  <c r="F12" i="4"/>
  <c r="F123" i="4" s="1"/>
  <c r="AZ40" i="3"/>
  <c r="BC40" i="3" s="1"/>
  <c r="BF40" i="3" s="1"/>
  <c r="BI40" i="3" s="1"/>
  <c r="BL40" i="3" s="1"/>
  <c r="BA40" i="3"/>
  <c r="BD40" i="3" s="1"/>
  <c r="BG40" i="3" s="1"/>
  <c r="AZ43" i="3"/>
  <c r="BC43" i="3" s="1"/>
  <c r="BF43" i="3" s="1"/>
  <c r="BI43" i="3" s="1"/>
  <c r="BL43" i="3" s="1"/>
  <c r="BA43" i="3"/>
  <c r="BD43" i="3" s="1"/>
  <c r="BG43" i="3" s="1"/>
  <c r="BJ43" i="3" s="1"/>
  <c r="BM43" i="3" s="1"/>
  <c r="AZ46" i="3"/>
  <c r="BA46" i="3"/>
  <c r="BD46" i="3" s="1"/>
  <c r="BG46" i="3" s="1"/>
  <c r="BJ46" i="3" s="1"/>
  <c r="BM46" i="3" s="1"/>
  <c r="AZ67" i="3"/>
  <c r="Q18" i="3"/>
  <c r="AX17" i="3"/>
  <c r="AZ16" i="3" s="1"/>
  <c r="BC16" i="3" s="1"/>
  <c r="BF16" i="3" s="1"/>
  <c r="BI16" i="3" s="1"/>
  <c r="BL16" i="3" s="1"/>
  <c r="AZ64" i="3"/>
  <c r="F110" i="4"/>
  <c r="F50" i="4"/>
  <c r="F127" i="4"/>
  <c r="R18" i="3"/>
  <c r="BA64" i="3"/>
  <c r="BD64" i="3" s="1"/>
  <c r="BG64" i="3" s="1"/>
  <c r="BJ64" i="3" s="1"/>
  <c r="BM64" i="3" s="1"/>
  <c r="AH62" i="3"/>
  <c r="AH63" i="3" s="1"/>
  <c r="Q27" i="3"/>
  <c r="AZ25" i="3"/>
  <c r="BC25" i="3" s="1"/>
  <c r="Q93" i="3"/>
  <c r="Q21" i="3"/>
  <c r="AZ19" i="3"/>
  <c r="Q9" i="3"/>
  <c r="R27" i="3"/>
  <c r="Q30" i="3"/>
  <c r="AZ28" i="3"/>
  <c r="BC28" i="3" s="1"/>
  <c r="BF28" i="3" s="1"/>
  <c r="BI28" i="3" s="1"/>
  <c r="BL28" i="3" s="1"/>
  <c r="R93" i="3"/>
  <c r="BA91" i="3"/>
  <c r="BD91" i="3" s="1"/>
  <c r="BG91" i="3" s="1"/>
  <c r="BJ91" i="3" s="1"/>
  <c r="BM91" i="3" s="1"/>
  <c r="R9" i="3"/>
  <c r="R30" i="3"/>
  <c r="Q33" i="3"/>
  <c r="AZ31" i="3"/>
  <c r="BC31" i="3" s="1"/>
  <c r="BF31" i="3" s="1"/>
  <c r="BI31" i="3" s="1"/>
  <c r="BA52" i="3"/>
  <c r="BD52" i="3" s="1"/>
  <c r="BG52" i="3" s="1"/>
  <c r="BJ52" i="3" s="1"/>
  <c r="BM52" i="3" s="1"/>
  <c r="AZ61" i="3"/>
  <c r="BA70" i="3"/>
  <c r="BD70" i="3" s="1"/>
  <c r="BG70" i="3" s="1"/>
  <c r="BJ70" i="3" s="1"/>
  <c r="BM70" i="3" s="1"/>
  <c r="AZ73" i="3"/>
  <c r="BC73" i="3" s="1"/>
  <c r="BF73" i="3" s="1"/>
  <c r="BI73" i="3" s="1"/>
  <c r="BL73" i="3" s="1"/>
  <c r="Q12" i="3"/>
  <c r="R33" i="3"/>
  <c r="BA31" i="3"/>
  <c r="BD31" i="3" s="1"/>
  <c r="BG31" i="3" s="1"/>
  <c r="Q36" i="3"/>
  <c r="AZ34" i="3"/>
  <c r="BC34" i="3" s="1"/>
  <c r="BF34" i="3" s="1"/>
  <c r="BI34" i="3" s="1"/>
  <c r="BL34" i="3" s="1"/>
  <c r="BA73" i="3"/>
  <c r="BD73" i="3" s="1"/>
  <c r="BG73" i="3" s="1"/>
  <c r="BJ73" i="3" s="1"/>
  <c r="BM73" i="3" s="1"/>
  <c r="R21" i="3"/>
  <c r="AY20" i="3"/>
  <c r="BA19" i="3" s="1"/>
  <c r="BD19" i="3" s="1"/>
  <c r="BG19" i="3" s="1"/>
  <c r="BJ19" i="3" s="1"/>
  <c r="BM19" i="3" s="1"/>
  <c r="R12" i="3"/>
  <c r="BA10" i="3"/>
  <c r="BD10" i="3" s="1"/>
  <c r="BG10" i="3" s="1"/>
  <c r="BJ10" i="3" s="1"/>
  <c r="BM10" i="3" s="1"/>
  <c r="R36" i="3"/>
  <c r="BA34" i="3"/>
  <c r="BD34" i="3" s="1"/>
  <c r="BG34" i="3" s="1"/>
  <c r="BJ34" i="3" s="1"/>
  <c r="BM34" i="3" s="1"/>
  <c r="Q39" i="3"/>
  <c r="AZ37" i="3"/>
  <c r="BC37" i="3" s="1"/>
  <c r="AY89" i="3"/>
  <c r="BA88" i="3" s="1"/>
  <c r="BD88" i="3" s="1"/>
  <c r="BG88" i="3" s="1"/>
  <c r="BJ88" i="3" s="1"/>
  <c r="BM88" i="3" s="1"/>
  <c r="Q15" i="3"/>
  <c r="R39" i="3"/>
  <c r="BA37" i="3"/>
  <c r="BD37" i="3" s="1"/>
  <c r="BG37" i="3" s="1"/>
  <c r="R15" i="3"/>
  <c r="BA13" i="3"/>
  <c r="BD13" i="3" s="1"/>
  <c r="BG13" i="3" s="1"/>
  <c r="BJ13" i="3" s="1"/>
  <c r="BM13" i="3" s="1"/>
  <c r="AF72" i="3"/>
  <c r="F74" i="4"/>
  <c r="F76" i="4" s="1"/>
  <c r="F98" i="4" s="1"/>
  <c r="F68" i="4"/>
  <c r="AG72" i="3"/>
  <c r="F21" i="4"/>
  <c r="F119" i="4"/>
  <c r="Z39" i="3"/>
  <c r="AA39" i="3"/>
  <c r="AC39" i="3"/>
  <c r="Z45" i="3"/>
  <c r="AD39" i="3"/>
  <c r="AA45" i="3"/>
  <c r="H48" i="4"/>
  <c r="H66" i="4" s="1"/>
  <c r="H12" i="4"/>
  <c r="AF39" i="3"/>
  <c r="AC45" i="3"/>
  <c r="AG39" i="3"/>
  <c r="AD45" i="3"/>
  <c r="AF45" i="3"/>
  <c r="G48" i="4"/>
  <c r="G66" i="4" s="1"/>
  <c r="G12" i="4"/>
  <c r="AG45" i="3"/>
  <c r="AC72" i="3"/>
  <c r="AD72" i="3"/>
  <c r="W24" i="3"/>
  <c r="AZ22" i="3"/>
  <c r="X57" i="3"/>
  <c r="BA55" i="3"/>
  <c r="BD55" i="3" s="1"/>
  <c r="BG55" i="3" s="1"/>
  <c r="BJ55" i="3" s="1"/>
  <c r="BM55" i="3" s="1"/>
  <c r="W60" i="3"/>
  <c r="X63" i="3"/>
  <c r="BA61" i="3"/>
  <c r="BD61" i="3" s="1"/>
  <c r="BG61" i="3" s="1"/>
  <c r="BJ61" i="3" s="1"/>
  <c r="BM61" i="3" s="1"/>
  <c r="X75" i="3"/>
  <c r="W90" i="3"/>
  <c r="AZ88" i="3"/>
  <c r="BC88" i="3" s="1"/>
  <c r="X24" i="3"/>
  <c r="BA22" i="3"/>
  <c r="BD22" i="3" s="1"/>
  <c r="BG22" i="3" s="1"/>
  <c r="BJ22" i="3" s="1"/>
  <c r="BM22" i="3" s="1"/>
  <c r="W27" i="3"/>
  <c r="X60" i="3"/>
  <c r="X90" i="3"/>
  <c r="W93" i="3"/>
  <c r="X9" i="3"/>
  <c r="X36" i="3"/>
  <c r="W39" i="3"/>
  <c r="X66" i="3"/>
  <c r="W9" i="3"/>
  <c r="X93" i="3"/>
  <c r="W12" i="3"/>
  <c r="X33" i="3"/>
  <c r="W66" i="3"/>
  <c r="W15" i="3"/>
  <c r="X39" i="3"/>
  <c r="W42" i="3"/>
  <c r="X27" i="3"/>
  <c r="W36" i="3"/>
  <c r="X15" i="3"/>
  <c r="X42" i="3"/>
  <c r="W45" i="3"/>
  <c r="BB79" i="3"/>
  <c r="W30" i="3"/>
  <c r="X30" i="3"/>
  <c r="X12" i="3"/>
  <c r="W18" i="3"/>
  <c r="X45" i="3"/>
  <c r="W48" i="3"/>
  <c r="BC85" i="3"/>
  <c r="BF85" i="3" s="1"/>
  <c r="BB85" i="3"/>
  <c r="W33" i="3"/>
  <c r="X48" i="3"/>
  <c r="W51" i="3"/>
  <c r="W69" i="3"/>
  <c r="BB82" i="3"/>
  <c r="BC82" i="3"/>
  <c r="X18" i="3"/>
  <c r="BA16" i="3"/>
  <c r="BD16" i="3" s="1"/>
  <c r="BG16" i="3" s="1"/>
  <c r="BJ16" i="3" s="1"/>
  <c r="BM16" i="3" s="1"/>
  <c r="W21" i="3"/>
  <c r="X51" i="3"/>
  <c r="BA49" i="3"/>
  <c r="BD49" i="3" s="1"/>
  <c r="BG49" i="3" s="1"/>
  <c r="BJ49" i="3" s="1"/>
  <c r="BM49" i="3" s="1"/>
  <c r="W54" i="3"/>
  <c r="X69" i="3"/>
  <c r="BA67" i="3"/>
  <c r="BD67" i="3" s="1"/>
  <c r="BG67" i="3" s="1"/>
  <c r="BJ67" i="3" s="1"/>
  <c r="BM67" i="3" s="1"/>
  <c r="W72" i="3"/>
  <c r="BB76" i="3"/>
  <c r="X21" i="3"/>
  <c r="X54" i="3"/>
  <c r="W57" i="3"/>
  <c r="AZ55" i="3"/>
  <c r="W63" i="3"/>
  <c r="X72" i="3"/>
  <c r="W75" i="3"/>
  <c r="M47" i="3"/>
  <c r="M48" i="3" s="1"/>
  <c r="P8" i="3"/>
  <c r="P9" i="3" s="1"/>
  <c r="P92" i="3"/>
  <c r="P93" i="3" s="1"/>
  <c r="V74" i="3"/>
  <c r="V75" i="3" s="1"/>
  <c r="Y71" i="3"/>
  <c r="Y72" i="3" s="1"/>
  <c r="AB68" i="3"/>
  <c r="AB69" i="3" s="1"/>
  <c r="AK41" i="3"/>
  <c r="AK42" i="3" s="1"/>
  <c r="AW41" i="3"/>
  <c r="AW42" i="3" s="1"/>
  <c r="AK38" i="3"/>
  <c r="AK39" i="3" s="1"/>
  <c r="AW38" i="3"/>
  <c r="AW39" i="3" s="1"/>
  <c r="AK92" i="3"/>
  <c r="AK93" i="3" s="1"/>
  <c r="AW92" i="3"/>
  <c r="AW93" i="3" s="1"/>
  <c r="AK11" i="3"/>
  <c r="AK12" i="3" s="1"/>
  <c r="AW11" i="3"/>
  <c r="AW12" i="3" s="1"/>
  <c r="AG94" i="3"/>
  <c r="AV59" i="3"/>
  <c r="AK44" i="3"/>
  <c r="AK45" i="3" s="1"/>
  <c r="AW44" i="3"/>
  <c r="AW45" i="3" s="1"/>
  <c r="AK14" i="3"/>
  <c r="AK15" i="3" s="1"/>
  <c r="AW14" i="3"/>
  <c r="AW15" i="3" s="1"/>
  <c r="AK50" i="3"/>
  <c r="AK51" i="3" s="1"/>
  <c r="AW50" i="3"/>
  <c r="AW51" i="3" s="1"/>
  <c r="AK53" i="3"/>
  <c r="AK54" i="3" s="1"/>
  <c r="AW53" i="3"/>
  <c r="AW54" i="3" s="1"/>
  <c r="M41" i="3"/>
  <c r="AK20" i="3"/>
  <c r="AK21" i="3" s="1"/>
  <c r="AW20" i="3"/>
  <c r="AW21" i="3" s="1"/>
  <c r="AK23" i="3"/>
  <c r="AK24" i="3" s="1"/>
  <c r="AW23" i="3"/>
  <c r="AW24" i="3" s="1"/>
  <c r="AK26" i="3"/>
  <c r="AK27" i="3" s="1"/>
  <c r="AW26" i="3"/>
  <c r="AW27" i="3" s="1"/>
  <c r="AK65" i="3"/>
  <c r="AK66" i="3" s="1"/>
  <c r="AW65" i="3"/>
  <c r="AW66" i="3" s="1"/>
  <c r="AK29" i="3"/>
  <c r="AK30" i="3" s="1"/>
  <c r="AW29" i="3"/>
  <c r="AW30" i="3" s="1"/>
  <c r="AK32" i="3"/>
  <c r="AK33" i="3" s="1"/>
  <c r="AW32" i="3"/>
  <c r="AW33" i="3" s="1"/>
  <c r="AK71" i="3"/>
  <c r="AK72" i="3" s="1"/>
  <c r="AW71" i="3"/>
  <c r="AW72" i="3" s="1"/>
  <c r="AW89" i="3"/>
  <c r="AW90" i="3" s="1"/>
  <c r="AK8" i="3"/>
  <c r="AK9" i="3" s="1"/>
  <c r="AW8" i="3"/>
  <c r="AW9" i="3" s="1"/>
  <c r="AK47" i="3"/>
  <c r="AK48" i="3" s="1"/>
  <c r="AW47" i="3"/>
  <c r="AW48" i="3" s="1"/>
  <c r="AK17" i="3"/>
  <c r="AK18" i="3" s="1"/>
  <c r="AW17" i="3"/>
  <c r="AW18" i="3" s="1"/>
  <c r="AK62" i="3"/>
  <c r="AK63" i="3" s="1"/>
  <c r="AW62" i="3"/>
  <c r="AW63" i="3" s="1"/>
  <c r="AK35" i="3"/>
  <c r="AK36" i="3" s="1"/>
  <c r="AW35" i="3"/>
  <c r="AW36" i="3" s="1"/>
  <c r="AK74" i="3"/>
  <c r="AK75" i="3" s="1"/>
  <c r="AW74" i="3"/>
  <c r="AW75" i="3" s="1"/>
  <c r="AW68" i="3"/>
  <c r="AW69" i="3" s="1"/>
  <c r="AE26" i="3"/>
  <c r="AE27" i="3" s="1"/>
  <c r="M38" i="3"/>
  <c r="M39" i="3" s="1"/>
  <c r="M74" i="3"/>
  <c r="M75" i="3" s="1"/>
  <c r="P71" i="3"/>
  <c r="P72" i="3" s="1"/>
  <c r="V65" i="3"/>
  <c r="V66" i="3" s="1"/>
  <c r="S35" i="3"/>
  <c r="S36" i="3" s="1"/>
  <c r="AH20" i="3"/>
  <c r="AH21" i="3" s="1"/>
  <c r="AH56" i="3"/>
  <c r="AH57" i="3" s="1"/>
  <c r="S74" i="3"/>
  <c r="S75" i="3" s="1"/>
  <c r="M26" i="3"/>
  <c r="M27" i="3" s="1"/>
  <c r="M62" i="3"/>
  <c r="M63" i="3" s="1"/>
  <c r="M68" i="3"/>
  <c r="M69" i="3" s="1"/>
  <c r="S26" i="3"/>
  <c r="S27" i="3" s="1"/>
  <c r="AB59" i="3"/>
  <c r="AB60" i="3" s="1"/>
  <c r="AE53" i="3"/>
  <c r="AE54" i="3" s="1"/>
  <c r="Y29" i="3"/>
  <c r="Y30" i="3" s="1"/>
  <c r="AB62" i="3"/>
  <c r="AB63" i="3" s="1"/>
  <c r="J11" i="3"/>
  <c r="J12" i="3" s="1"/>
  <c r="S38" i="3"/>
  <c r="S39" i="3" s="1"/>
  <c r="Y32" i="3"/>
  <c r="Y33" i="3" s="1"/>
  <c r="J14" i="3"/>
  <c r="J15" i="3" s="1"/>
  <c r="AB32" i="3"/>
  <c r="AB33" i="3" s="1"/>
  <c r="S14" i="3"/>
  <c r="S15" i="3" s="1"/>
  <c r="P35" i="3"/>
  <c r="P36" i="3" s="1"/>
  <c r="P74" i="3"/>
  <c r="P75" i="3" s="1"/>
  <c r="P44" i="3"/>
  <c r="P45" i="3" s="1"/>
  <c r="AE65" i="3"/>
  <c r="AE66" i="3" s="1"/>
  <c r="M14" i="3"/>
  <c r="M15" i="3" s="1"/>
  <c r="P47" i="3"/>
  <c r="P48" i="3" s="1"/>
  <c r="S8" i="3"/>
  <c r="S9" i="3" s="1"/>
  <c r="V89" i="3"/>
  <c r="V90" i="3" s="1"/>
  <c r="AB35" i="3"/>
  <c r="AB36" i="3" s="1"/>
  <c r="AB71" i="3"/>
  <c r="AB72" i="3" s="1"/>
  <c r="AH26" i="3"/>
  <c r="AH27" i="3" s="1"/>
  <c r="AH65" i="3"/>
  <c r="AH66" i="3" s="1"/>
  <c r="Y59" i="3"/>
  <c r="Y60" i="3" s="1"/>
  <c r="M29" i="3"/>
  <c r="M30" i="3" s="1"/>
  <c r="M65" i="3"/>
  <c r="M66" i="3" s="1"/>
  <c r="P62" i="3"/>
  <c r="P63" i="3" s="1"/>
  <c r="V38" i="3"/>
  <c r="V39" i="3" s="1"/>
  <c r="J17" i="3"/>
  <c r="J18" i="3" s="1"/>
  <c r="J53" i="3"/>
  <c r="J54" i="3" s="1"/>
  <c r="P11" i="3"/>
  <c r="P12" i="3" s="1"/>
  <c r="S44" i="3"/>
  <c r="S45" i="3" s="1"/>
  <c r="V41" i="3"/>
  <c r="V42" i="3" s="1"/>
  <c r="AE32" i="3"/>
  <c r="AE33" i="3" s="1"/>
  <c r="S65" i="3"/>
  <c r="S66" i="3" s="1"/>
  <c r="AH53" i="3"/>
  <c r="AH54" i="3" s="1"/>
  <c r="M35" i="3"/>
  <c r="M36" i="3" s="1"/>
  <c r="M71" i="3"/>
  <c r="M72" i="3" s="1"/>
  <c r="P32" i="3"/>
  <c r="P33" i="3" s="1"/>
  <c r="V26" i="3"/>
  <c r="V27" i="3" s="1"/>
  <c r="AE17" i="3"/>
  <c r="AE18" i="3" s="1"/>
  <c r="J20" i="3"/>
  <c r="J21" i="3" s="1"/>
  <c r="P50" i="3"/>
  <c r="P51" i="3" s="1"/>
  <c r="V8" i="3"/>
  <c r="V9" i="3" s="1"/>
  <c r="Y41" i="3"/>
  <c r="Y42" i="3" s="1"/>
  <c r="AB74" i="3"/>
  <c r="AB75" i="3" s="1"/>
  <c r="AH32" i="3"/>
  <c r="AH33" i="3" s="1"/>
  <c r="J23" i="3"/>
  <c r="J24" i="3" s="1"/>
  <c r="S50" i="3"/>
  <c r="S51" i="3" s="1"/>
  <c r="Y92" i="3"/>
  <c r="Y93" i="3" s="1"/>
  <c r="V68" i="3"/>
  <c r="V69" i="3" s="1"/>
  <c r="AB29" i="3"/>
  <c r="AB30" i="3" s="1"/>
  <c r="AE23" i="3"/>
  <c r="AE24" i="3" s="1"/>
  <c r="AE20" i="3"/>
  <c r="AE21" i="3" s="1"/>
  <c r="AH29" i="3"/>
  <c r="AH30" i="3" s="1"/>
  <c r="Y68" i="3"/>
  <c r="Y69" i="3" s="1"/>
  <c r="S47" i="3"/>
  <c r="S48" i="3" s="1"/>
  <c r="V92" i="3"/>
  <c r="V93" i="3" s="1"/>
  <c r="AB38" i="3"/>
  <c r="AB39" i="3" s="1"/>
  <c r="AE71" i="3"/>
  <c r="AE72" i="3" s="1"/>
  <c r="AE74" i="3"/>
  <c r="AE75" i="3" s="1"/>
  <c r="V56" i="3"/>
  <c r="V57" i="3" s="1"/>
  <c r="M17" i="3"/>
  <c r="M18" i="3" s="1"/>
  <c r="S11" i="3"/>
  <c r="S12" i="3" s="1"/>
  <c r="V44" i="3"/>
  <c r="V45" i="3" s="1"/>
  <c r="Y89" i="3"/>
  <c r="Y90" i="3" s="1"/>
  <c r="AE35" i="3"/>
  <c r="AE36" i="3" s="1"/>
  <c r="V11" i="3"/>
  <c r="V12" i="3" s="1"/>
  <c r="AE38" i="3"/>
  <c r="AE39" i="3" s="1"/>
  <c r="AH68" i="3"/>
  <c r="AH69" i="3" s="1"/>
  <c r="V29" i="3"/>
  <c r="V30" i="3" s="1"/>
  <c r="S89" i="3"/>
  <c r="S90" i="3" s="1"/>
  <c r="M20" i="3"/>
  <c r="M21" i="3" s="1"/>
  <c r="V47" i="3"/>
  <c r="V48" i="3" s="1"/>
  <c r="M23" i="3"/>
  <c r="M24" i="3" s="1"/>
  <c r="P56" i="3"/>
  <c r="P57" i="3" s="1"/>
  <c r="S53" i="3"/>
  <c r="S54" i="3" s="1"/>
  <c r="Y11" i="3"/>
  <c r="Y12" i="3" s="1"/>
  <c r="Y47" i="3"/>
  <c r="Y48" i="3" s="1"/>
  <c r="AB92" i="3"/>
  <c r="AB93" i="3" s="1"/>
  <c r="AE89" i="3"/>
  <c r="AE90" i="3" s="1"/>
  <c r="P59" i="3"/>
  <c r="P60" i="3" s="1"/>
  <c r="V17" i="3"/>
  <c r="V18" i="3" s="1"/>
  <c r="Y14" i="3"/>
  <c r="Y15" i="3" s="1"/>
  <c r="AE8" i="3"/>
  <c r="AE9" i="3" s="1"/>
  <c r="P26" i="3"/>
  <c r="P27" i="3" s="1"/>
  <c r="V20" i="3"/>
  <c r="V21" i="3" s="1"/>
  <c r="AB14" i="3"/>
  <c r="AB15" i="3" s="1"/>
  <c r="AE47" i="3"/>
  <c r="AE48" i="3" s="1"/>
  <c r="AH44" i="3"/>
  <c r="AH45" i="3" s="1"/>
  <c r="P65" i="3"/>
  <c r="P66" i="3" s="1"/>
  <c r="S62" i="3"/>
  <c r="S63" i="3" s="1"/>
  <c r="V59" i="3"/>
  <c r="V60" i="3" s="1"/>
  <c r="AB17" i="3"/>
  <c r="AB18" i="3" s="1"/>
  <c r="AB20" i="3"/>
  <c r="AB21" i="3" s="1"/>
  <c r="AH50" i="3"/>
  <c r="AH51" i="3" s="1"/>
  <c r="Y26" i="3"/>
  <c r="Y27" i="3" s="1"/>
  <c r="AE59" i="3"/>
  <c r="AE60" i="3" s="1"/>
  <c r="P41" i="3"/>
  <c r="P42" i="3" s="1"/>
  <c r="P89" i="3"/>
  <c r="P90" i="3" s="1"/>
  <c r="V35" i="3"/>
  <c r="V36" i="3" s="1"/>
  <c r="V71" i="3"/>
  <c r="V72" i="3" s="1"/>
  <c r="AB65" i="3"/>
  <c r="AB66" i="3" s="1"/>
  <c r="P14" i="3"/>
  <c r="P15" i="3" s="1"/>
  <c r="AE62" i="3"/>
  <c r="AE63" i="3" s="1"/>
  <c r="Y44" i="3"/>
  <c r="Y45" i="3" s="1"/>
  <c r="P53" i="3"/>
  <c r="P54" i="3" s="1"/>
  <c r="AB89" i="3"/>
  <c r="AB90" i="3" s="1"/>
  <c r="S17" i="3"/>
  <c r="S18" i="3" s="1"/>
  <c r="V50" i="3"/>
  <c r="V51" i="3" s="1"/>
  <c r="AB8" i="3"/>
  <c r="AB9" i="3" s="1"/>
  <c r="AE41" i="3"/>
  <c r="AE42" i="3" s="1"/>
  <c r="AH38" i="3"/>
  <c r="AH39" i="3" s="1"/>
  <c r="P23" i="3"/>
  <c r="P24" i="3" s="1"/>
  <c r="S56" i="3"/>
  <c r="S57" i="3" s="1"/>
  <c r="Y50" i="3"/>
  <c r="Y51" i="3" s="1"/>
  <c r="AE44" i="3"/>
  <c r="AE45" i="3" s="1"/>
  <c r="S59" i="3"/>
  <c r="S60" i="3" s="1"/>
  <c r="Y53" i="3"/>
  <c r="Y54" i="3" s="1"/>
  <c r="AE11" i="3"/>
  <c r="AE12" i="3" s="1"/>
  <c r="P29" i="3"/>
  <c r="P30" i="3" s="1"/>
  <c r="V23" i="3"/>
  <c r="V24" i="3" s="1"/>
  <c r="Y56" i="3"/>
  <c r="Y57" i="3" s="1"/>
  <c r="S29" i="3"/>
  <c r="S30" i="3" s="1"/>
  <c r="V62" i="3"/>
  <c r="V63" i="3" s="1"/>
  <c r="AH14" i="3"/>
  <c r="AH15" i="3" s="1"/>
  <c r="S68" i="3"/>
  <c r="S69" i="3" s="1"/>
  <c r="Y62" i="3"/>
  <c r="Y63" i="3" s="1"/>
  <c r="AE56" i="3"/>
  <c r="AE57" i="3" s="1"/>
  <c r="J8" i="3"/>
  <c r="J9" i="3" s="1"/>
  <c r="V32" i="3"/>
  <c r="V33" i="3" s="1"/>
  <c r="Y65" i="3"/>
  <c r="Y66" i="3" s="1"/>
  <c r="M11" i="3"/>
  <c r="M12" i="3" s="1"/>
  <c r="S41" i="3"/>
  <c r="S42" i="3" s="1"/>
  <c r="Y35" i="3"/>
  <c r="Y36" i="3" s="1"/>
  <c r="AE29" i="3"/>
  <c r="AE30" i="3" s="1"/>
  <c r="AH71" i="3"/>
  <c r="AH72" i="3" s="1"/>
  <c r="P17" i="3"/>
  <c r="P18" i="3" s="1"/>
  <c r="Y8" i="3"/>
  <c r="Y9" i="3" s="1"/>
  <c r="AB41" i="3"/>
  <c r="AB42" i="3" s="1"/>
  <c r="P20" i="3"/>
  <c r="P21" i="3" s="1"/>
  <c r="V14" i="3"/>
  <c r="V15" i="3" s="1"/>
  <c r="AB44" i="3"/>
  <c r="AB45" i="3" s="1"/>
  <c r="S20" i="3"/>
  <c r="S21" i="3" s="1"/>
  <c r="V53" i="3"/>
  <c r="V54" i="3" s="1"/>
  <c r="AB11" i="3"/>
  <c r="AB12" i="3" s="1"/>
  <c r="AB47" i="3"/>
  <c r="AB48" i="3" s="1"/>
  <c r="AE92" i="3"/>
  <c r="AE93" i="3" s="1"/>
  <c r="S23" i="3"/>
  <c r="S24" i="3" s="1"/>
  <c r="Y17" i="3"/>
  <c r="Y18" i="3" s="1"/>
  <c r="AB50" i="3"/>
  <c r="AB51" i="3" s="1"/>
  <c r="Y20" i="3"/>
  <c r="Y21" i="3" s="1"/>
  <c r="AB53" i="3"/>
  <c r="AB54" i="3" s="1"/>
  <c r="P68" i="3"/>
  <c r="P69" i="3" s="1"/>
  <c r="Y23" i="3"/>
  <c r="Y24" i="3" s="1"/>
  <c r="AB56" i="3"/>
  <c r="AB57" i="3" s="1"/>
  <c r="S32" i="3"/>
  <c r="S33" i="3" s="1"/>
  <c r="AB23" i="3"/>
  <c r="AB24" i="3" s="1"/>
  <c r="AH17" i="3"/>
  <c r="AH18" i="3" s="1"/>
  <c r="P38" i="3"/>
  <c r="P39" i="3" s="1"/>
  <c r="S71" i="3"/>
  <c r="S72" i="3" s="1"/>
  <c r="AB26" i="3"/>
  <c r="AB27" i="3" s="1"/>
  <c r="AH35" i="3"/>
  <c r="AH36" i="3" s="1"/>
  <c r="M53" i="3"/>
  <c r="M54" i="3" s="1"/>
  <c r="S92" i="3"/>
  <c r="S93" i="3" s="1"/>
  <c r="Y38" i="3"/>
  <c r="Y39" i="3" s="1"/>
  <c r="Y74" i="3"/>
  <c r="Y75" i="3" s="1"/>
  <c r="AE68" i="3"/>
  <c r="AE69" i="3" s="1"/>
  <c r="AH23" i="3"/>
  <c r="AH24" i="3" s="1"/>
  <c r="AH41" i="3"/>
  <c r="AH42" i="3" s="1"/>
  <c r="AE50" i="3"/>
  <c r="AE51" i="3" s="1"/>
  <c r="AH89" i="3"/>
  <c r="AH90" i="3" s="1"/>
  <c r="J41" i="3"/>
  <c r="J42" i="3" s="1"/>
  <c r="AH8" i="3"/>
  <c r="AH9" i="3" s="1"/>
  <c r="AH11" i="3"/>
  <c r="AH12" i="3" s="1"/>
  <c r="J38" i="3"/>
  <c r="J39" i="3" s="1"/>
  <c r="M8" i="3"/>
  <c r="M9" i="3" s="1"/>
  <c r="J35" i="3"/>
  <c r="J36" i="3" s="1"/>
  <c r="AH47" i="3"/>
  <c r="AH48" i="3" s="1"/>
  <c r="AG59" i="3"/>
  <c r="AG60" i="3" s="1"/>
  <c r="J62" i="3"/>
  <c r="J63" i="3" s="1"/>
  <c r="AH92" i="3"/>
  <c r="AH93" i="3" s="1"/>
  <c r="AE14" i="3"/>
  <c r="AE15" i="3" s="1"/>
  <c r="J50" i="3"/>
  <c r="J51" i="3" s="1"/>
  <c r="J89" i="3"/>
  <c r="J90" i="3" s="1"/>
  <c r="J92" i="3"/>
  <c r="J93" i="3" s="1"/>
  <c r="AH74" i="3"/>
  <c r="AH75" i="3" s="1"/>
  <c r="M56" i="3"/>
  <c r="M57" i="3" s="1"/>
  <c r="J32" i="3"/>
  <c r="J33" i="3" s="1"/>
  <c r="J26" i="3"/>
  <c r="J27" i="3" s="1"/>
  <c r="J44" i="3"/>
  <c r="J45" i="3" s="1"/>
  <c r="AH58" i="3"/>
  <c r="M59" i="3"/>
  <c r="M60" i="3" s="1"/>
  <c r="AJ59" i="3"/>
  <c r="AJ60" i="3" s="1"/>
  <c r="M50" i="3"/>
  <c r="M51" i="3" s="1"/>
  <c r="M32" i="3"/>
  <c r="M33" i="3" s="1"/>
  <c r="J56" i="3"/>
  <c r="J57" i="3" s="1"/>
  <c r="J59" i="3"/>
  <c r="J60" i="3" s="1"/>
  <c r="M89" i="3"/>
  <c r="M90" i="3" s="1"/>
  <c r="J29" i="3"/>
  <c r="J30" i="3" s="1"/>
  <c r="J47" i="3"/>
  <c r="J48" i="3" s="1"/>
  <c r="J65" i="3"/>
  <c r="J66" i="3" s="1"/>
  <c r="M44" i="3"/>
  <c r="M45" i="3" s="1"/>
  <c r="M92" i="3"/>
  <c r="M93" i="3" s="1"/>
  <c r="J68" i="3"/>
  <c r="J69" i="3" s="1"/>
  <c r="J71" i="3"/>
  <c r="J72" i="3" s="1"/>
  <c r="J74" i="3"/>
  <c r="J75" i="3" s="1"/>
  <c r="BF7" i="3" l="1"/>
  <c r="BI7" i="3" s="1"/>
  <c r="F120" i="4"/>
  <c r="F73" i="4"/>
  <c r="F23" i="4"/>
  <c r="F102" i="4" s="1"/>
  <c r="F106" i="4"/>
  <c r="BJ37" i="3"/>
  <c r="BM37" i="3" s="1"/>
  <c r="BJ31" i="3"/>
  <c r="BM31" i="3" s="1"/>
  <c r="BF58" i="3"/>
  <c r="BI58" i="3" s="1"/>
  <c r="BL58" i="3" s="1"/>
  <c r="BJ40" i="3"/>
  <c r="BM40" i="3" s="1"/>
  <c r="G50" i="4"/>
  <c r="G110" i="4"/>
  <c r="G127" i="4"/>
  <c r="AF98" i="3"/>
  <c r="I8" i="4" s="1"/>
  <c r="I114" i="4" s="1"/>
  <c r="K114" i="4" s="1"/>
  <c r="K27" i="4" s="1"/>
  <c r="AG95" i="3"/>
  <c r="AV95" i="3"/>
  <c r="H50" i="4"/>
  <c r="H110" i="4"/>
  <c r="H127" i="4"/>
  <c r="F103" i="4"/>
  <c r="F54" i="4"/>
  <c r="F56" i="4" s="1"/>
  <c r="G101" i="4"/>
  <c r="H101" i="4"/>
  <c r="F107" i="4"/>
  <c r="F108" i="4"/>
  <c r="H81" i="5"/>
  <c r="F81" i="5"/>
  <c r="F52" i="4"/>
  <c r="F104" i="4" s="1"/>
  <c r="F97" i="4"/>
  <c r="G81" i="5"/>
  <c r="F125" i="4"/>
  <c r="G119" i="4"/>
  <c r="G123" i="4"/>
  <c r="G21" i="4"/>
  <c r="G68" i="4"/>
  <c r="G74" i="4"/>
  <c r="G76" i="4" s="1"/>
  <c r="G98" i="4" s="1"/>
  <c r="AV60" i="3"/>
  <c r="H119" i="4"/>
  <c r="H123" i="4"/>
  <c r="H21" i="4"/>
  <c r="H74" i="4"/>
  <c r="H76" i="4" s="1"/>
  <c r="H98" i="4" s="1"/>
  <c r="H68" i="4"/>
  <c r="F78" i="4"/>
  <c r="F105" i="4" s="1"/>
  <c r="F81" i="4"/>
  <c r="F82" i="4"/>
  <c r="F94" i="4" s="1"/>
  <c r="BF76" i="3"/>
  <c r="BI76" i="3" s="1"/>
  <c r="BE76" i="3"/>
  <c r="BE85" i="3"/>
  <c r="BC10" i="3"/>
  <c r="BC94" i="3" s="1"/>
  <c r="BB10" i="3"/>
  <c r="BB88" i="3"/>
  <c r="BB70" i="3"/>
  <c r="BF82" i="3"/>
  <c r="BE82" i="3"/>
  <c r="BC46" i="3"/>
  <c r="BB46" i="3"/>
  <c r="BF79" i="3"/>
  <c r="BE79" i="3"/>
  <c r="BB43" i="3"/>
  <c r="BB40" i="3"/>
  <c r="BC55" i="3"/>
  <c r="BB55" i="3"/>
  <c r="BC52" i="3"/>
  <c r="BB52" i="3"/>
  <c r="BB49" i="3"/>
  <c r="BB16" i="3"/>
  <c r="BB13" i="3"/>
  <c r="AY59" i="3"/>
  <c r="BA58" i="3" s="1"/>
  <c r="BD58" i="3" s="1"/>
  <c r="BG58" i="3" s="1"/>
  <c r="BJ58" i="3" s="1"/>
  <c r="BM58" i="3" s="1"/>
  <c r="BB91" i="3"/>
  <c r="BC64" i="3"/>
  <c r="BF64" i="3" s="1"/>
  <c r="BI64" i="3" s="1"/>
  <c r="BL64" i="3" s="1"/>
  <c r="BB64" i="3"/>
  <c r="BF37" i="3"/>
  <c r="BB37" i="3"/>
  <c r="BB25" i="3"/>
  <c r="BB19" i="3"/>
  <c r="BC19" i="3"/>
  <c r="BB31" i="3"/>
  <c r="BC67" i="3"/>
  <c r="BB67" i="3"/>
  <c r="BB34" i="3"/>
  <c r="BC22" i="3"/>
  <c r="BF22" i="3" s="1"/>
  <c r="BB22" i="3"/>
  <c r="BC61" i="3"/>
  <c r="BB61" i="3"/>
  <c r="BB73" i="3"/>
  <c r="BB28" i="3"/>
  <c r="M42" i="3"/>
  <c r="AK59" i="3"/>
  <c r="AK60" i="3" s="1"/>
  <c r="AW59" i="3"/>
  <c r="AW60" i="3" s="1"/>
  <c r="AH59" i="3"/>
  <c r="AH60" i="3" s="1"/>
  <c r="G120" i="4" l="1"/>
  <c r="G73" i="4"/>
  <c r="AI99" i="3"/>
  <c r="AI100" i="3" s="1"/>
  <c r="AV99" i="3"/>
  <c r="AV100" i="3" s="1"/>
  <c r="AG99" i="3"/>
  <c r="AG100" i="3" s="1"/>
  <c r="AZ102" i="3" s="1"/>
  <c r="AZ100" i="3" s="1"/>
  <c r="BC100" i="3" s="1"/>
  <c r="BF100" i="3" s="1"/>
  <c r="BI100" i="3" s="1"/>
  <c r="BL100" i="3" s="1"/>
  <c r="H120" i="4"/>
  <c r="H73" i="4"/>
  <c r="H23" i="4"/>
  <c r="H102" i="4" s="1"/>
  <c r="H106" i="4"/>
  <c r="G23" i="4"/>
  <c r="G102" i="4" s="1"/>
  <c r="G106" i="4"/>
  <c r="I10" i="4"/>
  <c r="I12" i="4" s="1"/>
  <c r="I116" i="4"/>
  <c r="I112" i="4"/>
  <c r="K112" i="4" s="1"/>
  <c r="K17" i="4" s="1"/>
  <c r="I121" i="4"/>
  <c r="I115" i="4"/>
  <c r="I111" i="4"/>
  <c r="I15" i="6"/>
  <c r="K15" i="6" s="1"/>
  <c r="K17" i="6" s="1"/>
  <c r="I113" i="4"/>
  <c r="BI37" i="3"/>
  <c r="BL37" i="3" s="1"/>
  <c r="I70" i="5"/>
  <c r="AY95" i="3"/>
  <c r="BA95" i="3" s="1"/>
  <c r="BD95" i="3" s="1"/>
  <c r="BG95" i="3" s="1"/>
  <c r="BJ95" i="3" s="1"/>
  <c r="BM95" i="3" s="1"/>
  <c r="I117" i="4"/>
  <c r="I118" i="4"/>
  <c r="I74" i="5"/>
  <c r="H103" i="4"/>
  <c r="H54" i="4"/>
  <c r="H56" i="4" s="1"/>
  <c r="G103" i="4"/>
  <c r="G54" i="4"/>
  <c r="G56" i="4" s="1"/>
  <c r="H108" i="4"/>
  <c r="H107" i="4"/>
  <c r="G107" i="4"/>
  <c r="G108" i="4"/>
  <c r="G52" i="4"/>
  <c r="G104" i="4" s="1"/>
  <c r="G97" i="4"/>
  <c r="H52" i="4"/>
  <c r="H104" i="4" s="1"/>
  <c r="H97" i="4"/>
  <c r="G125" i="4"/>
  <c r="H125" i="4"/>
  <c r="H81" i="4"/>
  <c r="H82" i="4"/>
  <c r="H94" i="4" s="1"/>
  <c r="H78" i="4"/>
  <c r="H105" i="4" s="1"/>
  <c r="G81" i="4"/>
  <c r="G78" i="4"/>
  <c r="G105" i="4" s="1"/>
  <c r="G82" i="4"/>
  <c r="G94" i="4" s="1"/>
  <c r="BF88" i="3"/>
  <c r="BE88" i="3"/>
  <c r="BE16" i="3"/>
  <c r="BA94" i="3"/>
  <c r="BE22" i="3"/>
  <c r="BE37" i="3"/>
  <c r="BE49" i="3"/>
  <c r="BE64" i="3"/>
  <c r="BE10" i="3"/>
  <c r="BF10" i="3"/>
  <c r="BF19" i="3"/>
  <c r="BE19" i="3"/>
  <c r="BH79" i="3"/>
  <c r="BI79" i="3"/>
  <c r="BE34" i="3"/>
  <c r="BF52" i="3"/>
  <c r="BI52" i="3" s="1"/>
  <c r="BE52" i="3"/>
  <c r="BF46" i="3"/>
  <c r="BE46" i="3"/>
  <c r="BE40" i="3"/>
  <c r="BE70" i="3"/>
  <c r="BE13" i="3"/>
  <c r="AZ94" i="3"/>
  <c r="BB7" i="3"/>
  <c r="BF61" i="3"/>
  <c r="BI61" i="3" s="1"/>
  <c r="BL61" i="3" s="1"/>
  <c r="BE61" i="3"/>
  <c r="BF25" i="3"/>
  <c r="BE25" i="3"/>
  <c r="BH22" i="3"/>
  <c r="BI22" i="3"/>
  <c r="BE43" i="3"/>
  <c r="BE28" i="3"/>
  <c r="BF67" i="3"/>
  <c r="BE67" i="3"/>
  <c r="BE91" i="3"/>
  <c r="BH85" i="3"/>
  <c r="BI85" i="3"/>
  <c r="BE58" i="3"/>
  <c r="BF55" i="3"/>
  <c r="BE55" i="3"/>
  <c r="BH82" i="3"/>
  <c r="BI82" i="3"/>
  <c r="BE73" i="3"/>
  <c r="BE31" i="3"/>
  <c r="BB58" i="3"/>
  <c r="BH76" i="3"/>
  <c r="AZ98" i="3" l="1"/>
  <c r="I48" i="4"/>
  <c r="I66" i="4" s="1"/>
  <c r="I50" i="4"/>
  <c r="I110" i="4"/>
  <c r="K110" i="4" s="1"/>
  <c r="K9" i="4" s="1"/>
  <c r="I127" i="4"/>
  <c r="K127" i="4" s="1"/>
  <c r="BA108" i="3"/>
  <c r="K118" i="4"/>
  <c r="K117" i="4"/>
  <c r="K36" i="4" s="1"/>
  <c r="K116" i="4"/>
  <c r="K35" i="4" s="1"/>
  <c r="K113" i="4"/>
  <c r="I101" i="4"/>
  <c r="J101" i="4"/>
  <c r="K74" i="5"/>
  <c r="K14" i="5" s="1"/>
  <c r="K121" i="4"/>
  <c r="I21" i="4"/>
  <c r="I123" i="4"/>
  <c r="K123" i="4" s="1"/>
  <c r="I119" i="4"/>
  <c r="K119" i="4" s="1"/>
  <c r="I74" i="4"/>
  <c r="I76" i="4" s="1"/>
  <c r="I98" i="4" s="1"/>
  <c r="I68" i="4"/>
  <c r="BH64" i="3"/>
  <c r="BH34" i="3"/>
  <c r="BI55" i="3"/>
  <c r="BH55" i="3"/>
  <c r="BF94" i="3"/>
  <c r="BE7" i="3"/>
  <c r="BN76" i="3"/>
  <c r="BK76" i="3"/>
  <c r="BH28" i="3"/>
  <c r="BD94" i="3"/>
  <c r="BH73" i="3"/>
  <c r="BH67" i="3"/>
  <c r="BI67" i="3"/>
  <c r="BK82" i="3"/>
  <c r="BL82" i="3"/>
  <c r="BN82" i="3" s="1"/>
  <c r="BK79" i="3"/>
  <c r="BL79" i="3"/>
  <c r="BN79" i="3" s="1"/>
  <c r="BH37" i="3"/>
  <c r="BK22" i="3"/>
  <c r="BL22" i="3"/>
  <c r="BN22" i="3" s="1"/>
  <c r="BH70" i="3"/>
  <c r="BH58" i="3"/>
  <c r="BK85" i="3"/>
  <c r="BL85" i="3"/>
  <c r="BN85" i="3" s="1"/>
  <c r="BH40" i="3"/>
  <c r="BI19" i="3"/>
  <c r="BH19" i="3"/>
  <c r="BH13" i="3"/>
  <c r="BH10" i="3"/>
  <c r="BI10" i="3"/>
  <c r="BH49" i="3"/>
  <c r="BH52" i="3"/>
  <c r="BH43" i="3"/>
  <c r="BH25" i="3"/>
  <c r="BI25" i="3"/>
  <c r="BH16" i="3"/>
  <c r="BH31" i="3"/>
  <c r="BI46" i="3"/>
  <c r="BH46" i="3"/>
  <c r="BH91" i="3"/>
  <c r="BH61" i="3"/>
  <c r="BI88" i="3"/>
  <c r="BH88" i="3"/>
  <c r="I120" i="4" l="1"/>
  <c r="I73" i="4"/>
  <c r="I23" i="4"/>
  <c r="I102" i="4" s="1"/>
  <c r="I106" i="4"/>
  <c r="I103" i="4"/>
  <c r="I54" i="4"/>
  <c r="I56" i="4" s="1"/>
  <c r="BC98" i="3"/>
  <c r="BD108" i="3" s="1"/>
  <c r="L8" i="4"/>
  <c r="K115" i="4"/>
  <c r="K38" i="4" s="1"/>
  <c r="L112" i="4"/>
  <c r="M112" i="4" s="1"/>
  <c r="N112" i="4" s="1"/>
  <c r="O112" i="4" s="1"/>
  <c r="P112" i="4" s="1"/>
  <c r="L113" i="4"/>
  <c r="M113" i="4" s="1"/>
  <c r="N113" i="4" s="1"/>
  <c r="O113" i="4" s="1"/>
  <c r="P113" i="4" s="1"/>
  <c r="K18" i="4"/>
  <c r="I108" i="4"/>
  <c r="I107" i="4"/>
  <c r="K111" i="4"/>
  <c r="I52" i="4"/>
  <c r="I104" i="4" s="1"/>
  <c r="I97" i="4"/>
  <c r="I81" i="5"/>
  <c r="K12" i="5"/>
  <c r="I125" i="4"/>
  <c r="K125" i="4" s="1"/>
  <c r="K120" i="4"/>
  <c r="I78" i="4"/>
  <c r="I105" i="4" s="1"/>
  <c r="I81" i="4"/>
  <c r="I82" i="4"/>
  <c r="I94" i="4" s="1"/>
  <c r="K94" i="4" s="1"/>
  <c r="BL88" i="3"/>
  <c r="BN88" i="3" s="1"/>
  <c r="BK88" i="3"/>
  <c r="BN40" i="3"/>
  <c r="BK40" i="3"/>
  <c r="BN49" i="3"/>
  <c r="BK49" i="3"/>
  <c r="BK19" i="3"/>
  <c r="BL19" i="3"/>
  <c r="BN19" i="3" s="1"/>
  <c r="BK61" i="3"/>
  <c r="BN61" i="3"/>
  <c r="BH7" i="3"/>
  <c r="BK55" i="3"/>
  <c r="BL55" i="3"/>
  <c r="BN55" i="3" s="1"/>
  <c r="BN28" i="3"/>
  <c r="BK28" i="3"/>
  <c r="BK67" i="3"/>
  <c r="BL67" i="3"/>
  <c r="BN67" i="3" s="1"/>
  <c r="BK10" i="3"/>
  <c r="BL10" i="3"/>
  <c r="BN10" i="3" s="1"/>
  <c r="BK73" i="3"/>
  <c r="BN73" i="3"/>
  <c r="BN31" i="3"/>
  <c r="BK31" i="3"/>
  <c r="BN70" i="3"/>
  <c r="BK70" i="3"/>
  <c r="BN43" i="3"/>
  <c r="BK43" i="3"/>
  <c r="BN34" i="3"/>
  <c r="BK34" i="3"/>
  <c r="BK46" i="3"/>
  <c r="BL46" i="3"/>
  <c r="BN46" i="3" s="1"/>
  <c r="BN16" i="3"/>
  <c r="BK16" i="3"/>
  <c r="BK64" i="3"/>
  <c r="BN64" i="3"/>
  <c r="BN37" i="3"/>
  <c r="BK37" i="3"/>
  <c r="BK52" i="3"/>
  <c r="BL52" i="3"/>
  <c r="BN52" i="3" s="1"/>
  <c r="BN91" i="3"/>
  <c r="BK91" i="3"/>
  <c r="BK58" i="3"/>
  <c r="BN58" i="3"/>
  <c r="BN13" i="3"/>
  <c r="BK13" i="3"/>
  <c r="BG94" i="3"/>
  <c r="BK25" i="3"/>
  <c r="BL25" i="3"/>
  <c r="BN25" i="3" s="1"/>
  <c r="D15" i="11" l="1"/>
  <c r="E15" i="11" s="1"/>
  <c r="F15" i="11" s="1"/>
  <c r="G15" i="11" s="1"/>
  <c r="H15" i="11" s="1"/>
  <c r="H11" i="13"/>
  <c r="M9" i="13" s="1"/>
  <c r="N9" i="13" s="1"/>
  <c r="N11" i="13" s="1"/>
  <c r="A24" i="11" s="1"/>
  <c r="L27" i="4"/>
  <c r="L17" i="6"/>
  <c r="L12" i="5"/>
  <c r="F14" i="8" s="1"/>
  <c r="L9" i="4"/>
  <c r="L110" i="4" s="1"/>
  <c r="L14" i="5"/>
  <c r="F16" i="8" s="1"/>
  <c r="L35" i="4"/>
  <c r="BF98" i="3"/>
  <c r="BG108" i="3" s="1"/>
  <c r="M8" i="4"/>
  <c r="BM94" i="3"/>
  <c r="BJ94" i="3"/>
  <c r="BK7" i="3"/>
  <c r="BI94" i="3"/>
  <c r="D28" i="11" l="1"/>
  <c r="E29" i="11"/>
  <c r="E28" i="11"/>
  <c r="D29" i="11"/>
  <c r="G28" i="11"/>
  <c r="G29" i="11"/>
  <c r="H29" i="11"/>
  <c r="F28" i="11"/>
  <c r="H28" i="11"/>
  <c r="F29" i="11"/>
  <c r="M27" i="4"/>
  <c r="M17" i="6"/>
  <c r="M14" i="5"/>
  <c r="G16" i="8" s="1"/>
  <c r="M35" i="4"/>
  <c r="M9" i="4"/>
  <c r="M110" i="4" s="1"/>
  <c r="L10" i="4"/>
  <c r="L12" i="4" s="1"/>
  <c r="M12" i="5"/>
  <c r="BI98" i="3"/>
  <c r="BJ108" i="3" s="1"/>
  <c r="N8" i="4"/>
  <c r="N27" i="4" s="1"/>
  <c r="BN7" i="3"/>
  <c r="BL94" i="3"/>
  <c r="BL98" i="3" s="1"/>
  <c r="BM108" i="3" l="1"/>
  <c r="L123" i="4"/>
  <c r="L21" i="4"/>
  <c r="L19" i="4" s="1"/>
  <c r="L28" i="5" s="1"/>
  <c r="L114" i="4"/>
  <c r="L119" i="4"/>
  <c r="N9" i="4"/>
  <c r="N110" i="4" s="1"/>
  <c r="N35" i="4"/>
  <c r="N14" i="5"/>
  <c r="H16" i="8" s="1"/>
  <c r="N17" i="6"/>
  <c r="N12" i="5"/>
  <c r="M10" i="4"/>
  <c r="M12" i="4" s="1"/>
  <c r="P8" i="4"/>
  <c r="P27" i="4" s="1"/>
  <c r="R27" i="4" s="1"/>
  <c r="O8" i="4"/>
  <c r="O27" i="4" s="1"/>
  <c r="G14" i="8"/>
  <c r="L111" i="4" l="1"/>
  <c r="M114" i="4"/>
  <c r="M21" i="4"/>
  <c r="M19" i="4" s="1"/>
  <c r="M111" i="4" s="1"/>
  <c r="L17" i="4"/>
  <c r="L13" i="5"/>
  <c r="F15" i="8" s="1"/>
  <c r="L31" i="5"/>
  <c r="L40" i="5" s="1"/>
  <c r="L102" i="4"/>
  <c r="L106" i="4"/>
  <c r="M119" i="4"/>
  <c r="M123" i="4"/>
  <c r="O9" i="4"/>
  <c r="O110" i="4" s="1"/>
  <c r="O35" i="4"/>
  <c r="O17" i="6"/>
  <c r="O14" i="5"/>
  <c r="I16" i="8" s="1"/>
  <c r="O12" i="5"/>
  <c r="P9" i="4"/>
  <c r="P110" i="4" s="1"/>
  <c r="P17" i="6"/>
  <c r="P35" i="4"/>
  <c r="P14" i="5"/>
  <c r="P12" i="5"/>
  <c r="N10" i="4"/>
  <c r="N12" i="4" s="1"/>
  <c r="F17" i="8"/>
  <c r="H14" i="8"/>
  <c r="N123" i="4" l="1"/>
  <c r="N21" i="4"/>
  <c r="N19" i="4" s="1"/>
  <c r="N111" i="4" s="1"/>
  <c r="M17" i="4"/>
  <c r="M13" i="5"/>
  <c r="G15" i="8" s="1"/>
  <c r="M28" i="5"/>
  <c r="D20" i="11"/>
  <c r="M102" i="4"/>
  <c r="M106" i="4"/>
  <c r="P10" i="4"/>
  <c r="P12" i="4" s="1"/>
  <c r="R12" i="4" s="1"/>
  <c r="J16" i="8"/>
  <c r="N119" i="4"/>
  <c r="N114" i="4"/>
  <c r="O10" i="4"/>
  <c r="O12" i="4" s="1"/>
  <c r="I14" i="8"/>
  <c r="P123" i="4" l="1"/>
  <c r="P21" i="4"/>
  <c r="P19" i="4" s="1"/>
  <c r="O114" i="4"/>
  <c r="O21" i="4"/>
  <c r="O19" i="4" s="1"/>
  <c r="O111" i="4" s="1"/>
  <c r="G17" i="8"/>
  <c r="E20" i="11" s="1"/>
  <c r="M31" i="5"/>
  <c r="M40" i="5" s="1"/>
  <c r="N17" i="4"/>
  <c r="N13" i="5"/>
  <c r="H15" i="8" s="1"/>
  <c r="N28" i="5"/>
  <c r="N102" i="4"/>
  <c r="N106" i="4"/>
  <c r="P119" i="4"/>
  <c r="P114" i="4"/>
  <c r="O119" i="4"/>
  <c r="O123" i="4"/>
  <c r="J14" i="8"/>
  <c r="P111" i="4" l="1"/>
  <c r="R19" i="4"/>
  <c r="O17" i="4"/>
  <c r="O13" i="5"/>
  <c r="I15" i="8" s="1"/>
  <c r="O28" i="5"/>
  <c r="O31" i="5" s="1"/>
  <c r="O40" i="5" s="1"/>
  <c r="N31" i="5"/>
  <c r="N40" i="5" s="1"/>
  <c r="H17" i="8"/>
  <c r="F20" i="11" s="1"/>
  <c r="P17" i="4"/>
  <c r="P13" i="5"/>
  <c r="P28" i="5"/>
  <c r="P31" i="5" s="1"/>
  <c r="P40" i="5" s="1"/>
  <c r="P102" i="4"/>
  <c r="P106" i="4"/>
  <c r="O102" i="4"/>
  <c r="O106" i="4"/>
  <c r="J15" i="8" l="1"/>
  <c r="I17" i="8"/>
  <c r="G20" i="11" s="1"/>
  <c r="J17" i="8"/>
  <c r="G7" i="6"/>
  <c r="H20" i="11" l="1"/>
  <c r="G10" i="6"/>
  <c r="G14" i="6"/>
  <c r="L9" i="6" s="1"/>
  <c r="F10" i="8" s="1"/>
  <c r="D18" i="11" s="1"/>
  <c r="G32" i="6"/>
  <c r="G33" i="6" l="1"/>
  <c r="G36" i="6" s="1"/>
  <c r="L36" i="4"/>
  <c r="F22" i="8"/>
  <c r="H36" i="6" l="1"/>
  <c r="L38" i="4"/>
  <c r="L46" i="4" s="1"/>
  <c r="L50" i="4" s="1"/>
  <c r="D14" i="11" s="1"/>
  <c r="D19" i="11"/>
  <c r="F24" i="8"/>
  <c r="L11" i="6"/>
  <c r="L19" i="6" s="1"/>
  <c r="L18" i="6" s="1"/>
  <c r="D16" i="11" l="1"/>
  <c r="D22" i="11" s="1"/>
  <c r="L129" i="4"/>
  <c r="L68" i="4"/>
  <c r="L72" i="4" s="1"/>
  <c r="L54" i="4"/>
  <c r="L56" i="4" s="1"/>
  <c r="L103" i="4" s="1"/>
  <c r="M7" i="6"/>
  <c r="L18" i="5"/>
  <c r="L22" i="5" s="1"/>
  <c r="M8" i="6" l="1"/>
  <c r="M9" i="6" s="1"/>
  <c r="F11" i="8"/>
  <c r="L43" i="5" s="1"/>
  <c r="L115" i="4"/>
  <c r="L121" i="4" l="1"/>
  <c r="M36" i="4" l="1"/>
  <c r="G10" i="8"/>
  <c r="E18" i="11" s="1"/>
  <c r="L97" i="4"/>
  <c r="L52" i="4"/>
  <c r="L104" i="4" s="1"/>
  <c r="M11" i="6"/>
  <c r="M38" i="4" l="1"/>
  <c r="M46" i="4" s="1"/>
  <c r="M19" i="6"/>
  <c r="M18" i="6" s="1"/>
  <c r="M18" i="5"/>
  <c r="L76" i="4"/>
  <c r="L98" i="4" s="1"/>
  <c r="N7" i="6"/>
  <c r="M129" i="4" l="1"/>
  <c r="G11" i="8" s="1"/>
  <c r="M43" i="5" s="1"/>
  <c r="M115" i="4"/>
  <c r="L101" i="4"/>
  <c r="M50" i="4"/>
  <c r="N8" i="6"/>
  <c r="N9" i="6" s="1"/>
  <c r="M121" i="4"/>
  <c r="L81" i="4"/>
  <c r="L78" i="4"/>
  <c r="L105" i="4" s="1"/>
  <c r="L82" i="4"/>
  <c r="L93" i="4" s="1"/>
  <c r="F27" i="8" s="1"/>
  <c r="F34" i="8" s="1"/>
  <c r="F9" i="8"/>
  <c r="F19" i="8" s="1"/>
  <c r="F41" i="8" s="1"/>
  <c r="D30" i="11"/>
  <c r="L125" i="4"/>
  <c r="L127" i="4"/>
  <c r="F36" i="8" l="1"/>
  <c r="F28" i="8"/>
  <c r="L44" i="5"/>
  <c r="L46" i="5" s="1"/>
  <c r="M54" i="4"/>
  <c r="M56" i="4" s="1"/>
  <c r="M103" i="4" s="1"/>
  <c r="E14" i="11"/>
  <c r="E16" i="11" s="1"/>
  <c r="M52" i="4"/>
  <c r="M104" i="4" s="1"/>
  <c r="M97" i="4"/>
  <c r="M68" i="4"/>
  <c r="M72" i="4" s="1"/>
  <c r="L94" i="4"/>
  <c r="L64" i="5" l="1"/>
  <c r="L63" i="5"/>
  <c r="L107" i="4"/>
  <c r="N36" i="4"/>
  <c r="H10" i="8"/>
  <c r="F18" i="11" s="1"/>
  <c r="N11" i="6"/>
  <c r="O7" i="6" s="1"/>
  <c r="F8" i="7"/>
  <c r="F10" i="7" s="1"/>
  <c r="F12" i="7" s="1"/>
  <c r="F38" i="8"/>
  <c r="N38" i="4" l="1"/>
  <c r="N46" i="4" s="1"/>
  <c r="O8" i="6"/>
  <c r="O9" i="6" s="1"/>
  <c r="N19" i="6"/>
  <c r="N18" i="6" s="1"/>
  <c r="N18" i="5"/>
  <c r="M125" i="4"/>
  <c r="M127" i="4"/>
  <c r="M76" i="4"/>
  <c r="M98" i="4" s="1"/>
  <c r="L48" i="5"/>
  <c r="G37" i="8"/>
  <c r="L10" i="5"/>
  <c r="L15" i="5" s="1"/>
  <c r="G9" i="7"/>
  <c r="N129" i="4" l="1"/>
  <c r="H11" i="8" s="1"/>
  <c r="N43" i="5" s="1"/>
  <c r="L24" i="5"/>
  <c r="L108" i="4" s="1"/>
  <c r="L59" i="5"/>
  <c r="L60" i="5"/>
  <c r="L61" i="5" s="1"/>
  <c r="L62" i="5" s="1"/>
  <c r="L58" i="5"/>
  <c r="N115" i="4"/>
  <c r="M101" i="4"/>
  <c r="N50" i="4"/>
  <c r="N121" i="4"/>
  <c r="M82" i="4"/>
  <c r="M93" i="4" s="1"/>
  <c r="M78" i="4"/>
  <c r="M105" i="4" s="1"/>
  <c r="G9" i="8"/>
  <c r="G19" i="8" s="1"/>
  <c r="G41" i="8" s="1"/>
  <c r="M81" i="4"/>
  <c r="L54" i="5" l="1"/>
  <c r="N54" i="4"/>
  <c r="N56" i="4" s="1"/>
  <c r="N103" i="4" s="1"/>
  <c r="F14" i="11"/>
  <c r="F16" i="11" s="1"/>
  <c r="O36" i="4"/>
  <c r="O38" i="4" s="1"/>
  <c r="I10" i="8"/>
  <c r="G18" i="11" s="1"/>
  <c r="M94" i="4"/>
  <c r="G27" i="8"/>
  <c r="M44" i="5" s="1"/>
  <c r="M46" i="5" s="1"/>
  <c r="N68" i="4"/>
  <c r="N97" i="4"/>
  <c r="N52" i="4"/>
  <c r="N104" i="4" s="1"/>
  <c r="O11" i="6"/>
  <c r="M64" i="5" l="1"/>
  <c r="M63" i="5"/>
  <c r="M48" i="5"/>
  <c r="M107" i="4"/>
  <c r="G34" i="8"/>
  <c r="O19" i="6"/>
  <c r="O18" i="6" s="1"/>
  <c r="O18" i="5"/>
  <c r="N72" i="4"/>
  <c r="N76" i="4" s="1"/>
  <c r="O46" i="4"/>
  <c r="O115" i="4"/>
  <c r="O129" i="4"/>
  <c r="I11" i="8" s="1"/>
  <c r="O43" i="5" s="1"/>
  <c r="P7" i="6"/>
  <c r="N101" i="4" l="1"/>
  <c r="N98" i="4"/>
  <c r="O50" i="4"/>
  <c r="P8" i="6"/>
  <c r="P9" i="6" s="1"/>
  <c r="O121" i="4"/>
  <c r="N81" i="4"/>
  <c r="N78" i="4"/>
  <c r="N105" i="4" s="1"/>
  <c r="N82" i="4"/>
  <c r="N93" i="4" s="1"/>
  <c r="H9" i="8"/>
  <c r="H19" i="8" s="1"/>
  <c r="H41" i="8" s="1"/>
  <c r="N127" i="4"/>
  <c r="N125" i="4"/>
  <c r="O54" i="4" l="1"/>
  <c r="O56" i="4" s="1"/>
  <c r="O103" i="4" s="1"/>
  <c r="G14" i="11"/>
  <c r="G16" i="11" s="1"/>
  <c r="H27" i="8"/>
  <c r="N44" i="5" s="1"/>
  <c r="N94" i="4"/>
  <c r="O68" i="4"/>
  <c r="O72" i="4" s="1"/>
  <c r="O97" i="4"/>
  <c r="O52" i="4"/>
  <c r="O104" i="4" s="1"/>
  <c r="P11" i="6" l="1"/>
  <c r="P18" i="5" s="1"/>
  <c r="J10" i="8"/>
  <c r="H18" i="11" s="1"/>
  <c r="N46" i="5"/>
  <c r="P36" i="4"/>
  <c r="H34" i="8"/>
  <c r="O76" i="4"/>
  <c r="N64" i="5" l="1"/>
  <c r="N63" i="5"/>
  <c r="O101" i="4"/>
  <c r="O98" i="4"/>
  <c r="P38" i="4"/>
  <c r="Q36" i="4"/>
  <c r="N48" i="5"/>
  <c r="N107" i="4"/>
  <c r="P19" i="6"/>
  <c r="P18" i="6" s="1"/>
  <c r="I9" i="8"/>
  <c r="I19" i="8" s="1"/>
  <c r="I41" i="8" s="1"/>
  <c r="O82" i="4"/>
  <c r="O93" i="4" s="1"/>
  <c r="O81" i="4"/>
  <c r="O78" i="4"/>
  <c r="O105" i="4" s="1"/>
  <c r="O125" i="4"/>
  <c r="O127" i="4"/>
  <c r="P129" i="4" l="1"/>
  <c r="J11" i="8" s="1"/>
  <c r="P43" i="5" s="1"/>
  <c r="R38" i="4"/>
  <c r="P46" i="4"/>
  <c r="P115" i="4"/>
  <c r="O94" i="4"/>
  <c r="I27" i="8"/>
  <c r="I34" i="8" s="1"/>
  <c r="P50" i="4" l="1"/>
  <c r="R50" i="4" s="1"/>
  <c r="R46" i="4"/>
  <c r="P121" i="4"/>
  <c r="P54" i="4"/>
  <c r="H14" i="11"/>
  <c r="H16" i="11" s="1"/>
  <c r="F52" i="11" s="1"/>
  <c r="O44" i="5"/>
  <c r="P52" i="4"/>
  <c r="P104" i="4" s="1"/>
  <c r="P68" i="4"/>
  <c r="P97" i="4"/>
  <c r="P56" i="4" l="1"/>
  <c r="P103" i="4" s="1"/>
  <c r="R54" i="4"/>
  <c r="O46" i="5"/>
  <c r="P72" i="4"/>
  <c r="P76" i="4" s="1"/>
  <c r="P89" i="4" l="1"/>
  <c r="P90" i="4" s="1"/>
  <c r="R76" i="4"/>
  <c r="O64" i="5"/>
  <c r="O63" i="5"/>
  <c r="P101" i="4"/>
  <c r="P98" i="4"/>
  <c r="O48" i="5"/>
  <c r="O107" i="4"/>
  <c r="P78" i="4"/>
  <c r="P105" i="4" s="1"/>
  <c r="P82" i="4"/>
  <c r="P81" i="4"/>
  <c r="J9" i="8"/>
  <c r="J19" i="8" s="1"/>
  <c r="P127" i="4"/>
  <c r="P125" i="4"/>
  <c r="J41" i="8" l="1"/>
  <c r="P138" i="4"/>
  <c r="P93" i="4"/>
  <c r="R93" i="4" s="1"/>
  <c r="R82" i="4"/>
  <c r="P94" i="4"/>
  <c r="J27" i="8"/>
  <c r="P44" i="5" l="1"/>
  <c r="P46" i="5" s="1"/>
  <c r="J34" i="8"/>
  <c r="P64" i="5" l="1"/>
  <c r="P63" i="5"/>
  <c r="P48" i="5"/>
  <c r="P107" i="4"/>
  <c r="G22" i="8" l="1"/>
  <c r="H22" i="8" l="1"/>
  <c r="H24" i="8" s="1"/>
  <c r="E19" i="11"/>
  <c r="E22" i="11" s="1"/>
  <c r="E30" i="11" s="1"/>
  <c r="G24" i="8"/>
  <c r="M42" i="6"/>
  <c r="M39" i="6" s="1"/>
  <c r="M19" i="5" l="1"/>
  <c r="M22" i="5" s="1"/>
  <c r="F19" i="11"/>
  <c r="F22" i="11" s="1"/>
  <c r="F30" i="11" s="1"/>
  <c r="G28" i="8"/>
  <c r="G8" i="7" s="1"/>
  <c r="G10" i="7" s="1"/>
  <c r="G12" i="7" s="1"/>
  <c r="G36" i="8"/>
  <c r="G38" i="8" s="1"/>
  <c r="H28" i="8"/>
  <c r="H8" i="7" s="1"/>
  <c r="H36" i="8"/>
  <c r="N42" i="6" l="1"/>
  <c r="N39" i="6" s="1"/>
  <c r="N19" i="5"/>
  <c r="N22" i="5" s="1"/>
  <c r="H9" i="7"/>
  <c r="H10" i="7" s="1"/>
  <c r="H12" i="7" s="1"/>
  <c r="M10" i="5"/>
  <c r="M15" i="5" s="1"/>
  <c r="H37" i="8"/>
  <c r="H38" i="8" s="1"/>
  <c r="I22" i="8" l="1"/>
  <c r="I9" i="7"/>
  <c r="I37" i="8"/>
  <c r="N10" i="5"/>
  <c r="N15" i="5" s="1"/>
  <c r="N24" i="5" s="1"/>
  <c r="M60" i="5"/>
  <c r="M61" i="5" s="1"/>
  <c r="M62" i="5" s="1"/>
  <c r="M58" i="5"/>
  <c r="M59" i="5"/>
  <c r="M24" i="5"/>
  <c r="N60" i="5" l="1"/>
  <c r="N61" i="5" s="1"/>
  <c r="N62" i="5" s="1"/>
  <c r="N59" i="5"/>
  <c r="N58" i="5"/>
  <c r="G19" i="11"/>
  <c r="G22" i="11" s="1"/>
  <c r="G30" i="11" s="1"/>
  <c r="I24" i="8"/>
  <c r="M108" i="4"/>
  <c r="M54" i="5"/>
  <c r="N108" i="4"/>
  <c r="N54" i="5"/>
  <c r="I28" i="8" l="1"/>
  <c r="I8" i="7" s="1"/>
  <c r="I10" i="7" s="1"/>
  <c r="I12" i="7" s="1"/>
  <c r="I36" i="8"/>
  <c r="I38" i="8" s="1"/>
  <c r="O42" i="6"/>
  <c r="O39" i="6" s="1"/>
  <c r="O19" i="5"/>
  <c r="O22" i="5" s="1"/>
  <c r="J22" i="8" l="1"/>
  <c r="J9" i="7"/>
  <c r="O10" i="5"/>
  <c r="O15" i="5" s="1"/>
  <c r="J37" i="8"/>
  <c r="O58" i="5" l="1"/>
  <c r="O60" i="5"/>
  <c r="O61" i="5" s="1"/>
  <c r="O62" i="5" s="1"/>
  <c r="O59" i="5"/>
  <c r="P42" i="6"/>
  <c r="P39" i="6" s="1"/>
  <c r="P19" i="5"/>
  <c r="P22" i="5" s="1"/>
  <c r="O24" i="5"/>
  <c r="H19" i="11"/>
  <c r="H22" i="11" s="1"/>
  <c r="J24" i="8"/>
  <c r="H30" i="11" l="1"/>
  <c r="D33" i="11" s="1"/>
  <c r="F38" i="11"/>
  <c r="F39" i="11" s="1"/>
  <c r="J28" i="8"/>
  <c r="J8" i="7" s="1"/>
  <c r="J10" i="7" s="1"/>
  <c r="J12" i="7" s="1"/>
  <c r="J36" i="8"/>
  <c r="J38" i="8" s="1"/>
  <c r="P10" i="5" s="1"/>
  <c r="P15" i="5" s="1"/>
  <c r="O108" i="4"/>
  <c r="O54" i="5"/>
  <c r="F40" i="11" l="1"/>
  <c r="F42" i="11" s="1"/>
  <c r="F46" i="11" s="1"/>
  <c r="F48" i="11" s="1"/>
  <c r="L37" i="11" s="1"/>
  <c r="P60" i="5"/>
  <c r="P61" i="5" s="1"/>
  <c r="P62" i="5" s="1"/>
  <c r="P58" i="5"/>
  <c r="P59" i="5"/>
  <c r="P24" i="5"/>
  <c r="P54" i="5" l="1"/>
  <c r="P108" i="4"/>
  <c r="F51" i="11" l="1"/>
  <c r="F53" i="11" s="1"/>
  <c r="F54" i="11" s="1"/>
  <c r="F55" i="11" s="1"/>
  <c r="F57" i="11" s="1"/>
  <c r="F61" i="11" s="1"/>
  <c r="F63" i="11" s="1"/>
  <c r="L51" i="11" l="1"/>
  <c r="K11" i="11"/>
  <c r="K10"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Abhishek M</author>
  </authors>
  <commentList>
    <comment ref="AX71" authorId="0" shapeId="0" xr:uid="{48F4E1C3-5A7A-4DE2-8421-48ABA9C9714C}">
      <text>
        <r>
          <rPr>
            <b/>
            <sz val="9"/>
            <color indexed="81"/>
            <rFont val="Tahoma"/>
            <family val="2"/>
          </rPr>
          <t>Abhishek M:</t>
        </r>
        <r>
          <rPr>
            <sz val="9"/>
            <color indexed="81"/>
            <rFont val="Tahoma"/>
            <family val="2"/>
          </rPr>
          <t xml:space="preserve">
Adjusting for revenue gain from Horizon acquisition</t>
        </r>
      </text>
    </comment>
    <comment ref="AX95" authorId="0" shapeId="0" xr:uid="{7C238EB3-5D10-4F29-9618-07DF6C79DA0C}">
      <text>
        <r>
          <rPr>
            <b/>
            <sz val="9"/>
            <color indexed="81"/>
            <rFont val="Tahoma"/>
            <family val="2"/>
          </rPr>
          <t>Abhishek M:</t>
        </r>
        <r>
          <rPr>
            <sz val="9"/>
            <color indexed="81"/>
            <rFont val="Tahoma"/>
            <family val="2"/>
          </rPr>
          <t xml:space="preserve">
The total US Growth is taken from past 10 Year data since the company is a US Company.
To get a more accurate data of the US Growth</t>
        </r>
      </text>
    </comment>
    <comment ref="AY95" authorId="0" shapeId="0" xr:uid="{6823976D-A3C2-40F5-A607-1A69296F9E2A}">
      <text>
        <r>
          <rPr>
            <b/>
            <sz val="9"/>
            <color indexed="81"/>
            <rFont val="Tahoma"/>
            <family val="2"/>
          </rPr>
          <t>Abhishek M:</t>
        </r>
        <r>
          <rPr>
            <sz val="9"/>
            <color indexed="81"/>
            <rFont val="Tahoma"/>
            <family val="2"/>
          </rPr>
          <t xml:space="preserve">
The Growth for ROW is taken from a 7 year past data, Since the company has been very active in collaborating with and acquiring new companies around the world. So the past not so active period might hinder the growth. </t>
        </r>
      </text>
    </comment>
    <comment ref="I100" authorId="0" shapeId="0" xr:uid="{1F4541A1-DD30-490E-9F27-41758FF53CD3}">
      <text>
        <r>
          <rPr>
            <b/>
            <sz val="9"/>
            <color indexed="81"/>
            <rFont val="Tahoma"/>
            <family val="2"/>
          </rPr>
          <t>Abhishek M:</t>
        </r>
        <r>
          <rPr>
            <sz val="9"/>
            <color indexed="81"/>
            <rFont val="Tahoma"/>
            <family val="2"/>
          </rPr>
          <t xml:space="preserve">
Abhishek M:2014 10k Report Pg No: 45</t>
        </r>
      </text>
    </comment>
    <comment ref="L100" authorId="0" shapeId="0" xr:uid="{2374DA47-D4BD-45F0-9840-AD6A74C1D020}">
      <text>
        <r>
          <rPr>
            <b/>
            <sz val="9"/>
            <color indexed="81"/>
            <rFont val="Tahoma"/>
            <family val="2"/>
          </rPr>
          <t>Abhishek M:</t>
        </r>
        <r>
          <rPr>
            <sz val="9"/>
            <color indexed="81"/>
            <rFont val="Tahoma"/>
            <family val="2"/>
          </rPr>
          <t xml:space="preserve">
Abhishek M:2015 10k Report Pg No:41</t>
        </r>
      </text>
    </comment>
    <comment ref="O100" authorId="0" shapeId="0" xr:uid="{6B6478A9-755E-44DE-92FA-F3301ED92CE3}">
      <text>
        <r>
          <rPr>
            <b/>
            <sz val="9"/>
            <color indexed="81"/>
            <rFont val="Tahoma"/>
            <family val="2"/>
          </rPr>
          <t>Abhishek M:</t>
        </r>
        <r>
          <rPr>
            <sz val="9"/>
            <color indexed="81"/>
            <rFont val="Tahoma"/>
            <family val="2"/>
          </rPr>
          <t xml:space="preserve">
2016 10k Report Pg No:43</t>
        </r>
      </text>
    </comment>
    <comment ref="R100" authorId="0" shapeId="0" xr:uid="{E6E6EDE5-5BF4-4025-89EE-7E7A39B40B5E}">
      <text>
        <r>
          <rPr>
            <b/>
            <sz val="9"/>
            <color indexed="81"/>
            <rFont val="Tahoma"/>
            <family val="2"/>
          </rPr>
          <t>Abhishek M:</t>
        </r>
        <r>
          <rPr>
            <sz val="9"/>
            <color indexed="81"/>
            <rFont val="Tahoma"/>
            <family val="2"/>
          </rPr>
          <t xml:space="preserve">
2017 10k Report Pg No:46</t>
        </r>
      </text>
    </comment>
    <comment ref="U100" authorId="0" shapeId="0" xr:uid="{58B7876B-3FD5-4908-910C-F1F03FED2914}">
      <text>
        <r>
          <rPr>
            <b/>
            <sz val="9"/>
            <color indexed="81"/>
            <rFont val="Tahoma"/>
            <family val="2"/>
          </rPr>
          <t>Abhishek M:</t>
        </r>
        <r>
          <rPr>
            <sz val="9"/>
            <color indexed="81"/>
            <rFont val="Tahoma"/>
            <family val="2"/>
          </rPr>
          <t xml:space="preserve">
2018 10k Report Pg No:45</t>
        </r>
      </text>
    </comment>
    <comment ref="X100" authorId="0" shapeId="0" xr:uid="{01EEEA4D-88FE-49FD-83ED-00F534100418}">
      <text>
        <r>
          <rPr>
            <b/>
            <sz val="9"/>
            <color indexed="81"/>
            <rFont val="Tahoma"/>
            <family val="2"/>
          </rPr>
          <t>Abhishek M:</t>
        </r>
        <r>
          <rPr>
            <sz val="9"/>
            <color indexed="81"/>
            <rFont val="Tahoma"/>
            <family val="2"/>
          </rPr>
          <t xml:space="preserve">
2019 10K Report Pg No: 47</t>
        </r>
      </text>
    </comment>
    <comment ref="AA100" authorId="0" shapeId="0" xr:uid="{A30E4C58-118A-4EF2-B967-9115BFDB05DA}">
      <text>
        <r>
          <rPr>
            <b/>
            <sz val="9"/>
            <color indexed="81"/>
            <rFont val="Tahoma"/>
            <family val="2"/>
          </rPr>
          <t>Abhishek M:</t>
        </r>
        <r>
          <rPr>
            <sz val="9"/>
            <color indexed="81"/>
            <rFont val="Tahoma"/>
            <family val="2"/>
          </rPr>
          <t xml:space="preserve">
2020 10k Report Pg No:63</t>
        </r>
      </text>
    </comment>
    <comment ref="AD100" authorId="0" shapeId="0" xr:uid="{3AA4FD81-D974-4076-A3A0-C347718199CE}">
      <text>
        <r>
          <rPr>
            <b/>
            <sz val="9"/>
            <color indexed="81"/>
            <rFont val="Tahoma"/>
            <family val="2"/>
          </rPr>
          <t>Abhishek M:</t>
        </r>
        <r>
          <rPr>
            <sz val="9"/>
            <color indexed="81"/>
            <rFont val="Tahoma"/>
            <family val="2"/>
          </rPr>
          <t xml:space="preserve">
2021 10k Report Pg No: 57
</t>
        </r>
      </text>
    </comment>
    <comment ref="AG100" authorId="0" shapeId="0" xr:uid="{E959B2CC-4CB3-45CD-810D-BE652675DA72}">
      <text>
        <r>
          <rPr>
            <b/>
            <sz val="9"/>
            <color indexed="81"/>
            <rFont val="Tahoma"/>
            <family val="2"/>
          </rPr>
          <t>Abhishek M:</t>
        </r>
        <r>
          <rPr>
            <sz val="9"/>
            <color indexed="81"/>
            <rFont val="Tahoma"/>
            <family val="2"/>
          </rPr>
          <t xml:space="preserve">
Forex Negatively Affected 2%.
Source: Q4 Earnings Call 2022 Pg No: 7</t>
        </r>
      </text>
    </comment>
    <comment ref="AI100" authorId="0" shapeId="0" xr:uid="{8FE15383-3A83-4CD4-93A9-5AE9167BA456}">
      <text>
        <r>
          <rPr>
            <b/>
            <sz val="9"/>
            <color indexed="81"/>
            <rFont val="Tahoma"/>
            <family val="2"/>
          </rPr>
          <t>Abhishek M:</t>
        </r>
        <r>
          <rPr>
            <sz val="9"/>
            <color indexed="81"/>
            <rFont val="Tahoma"/>
            <family val="2"/>
          </rPr>
          <t xml:space="preserve">
Forex Negatively Affected 1%.
Source: Q4 Earnings Call 2023 Pg No: 7</t>
        </r>
      </text>
    </comment>
    <comment ref="AV100" authorId="0" shapeId="0" xr:uid="{14D821F0-53FF-464A-95C5-A81049E4D2BE}">
      <text>
        <r>
          <rPr>
            <b/>
            <sz val="9"/>
            <color indexed="81"/>
            <rFont val="Tahoma"/>
            <family val="2"/>
          </rPr>
          <t>Abhishek M:</t>
        </r>
        <r>
          <rPr>
            <sz val="9"/>
            <color indexed="81"/>
            <rFont val="Tahoma"/>
            <family val="2"/>
          </rPr>
          <t xml:space="preserve">
Adverse Forex Rates Impact of 1%.
Source: Earnings presentation Q4 2023 Pg No:7</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Abhishek M</author>
  </authors>
  <commentList>
    <comment ref="I11" authorId="0" shapeId="0" xr:uid="{791764EC-F11E-404B-AB31-CAB05CC38D23}">
      <text>
        <r>
          <rPr>
            <b/>
            <sz val="9"/>
            <color indexed="81"/>
            <rFont val="Tahoma"/>
            <family val="2"/>
          </rPr>
          <t>Abhishek M:</t>
        </r>
        <r>
          <rPr>
            <sz val="9"/>
            <color indexed="81"/>
            <rFont val="Tahoma"/>
            <family val="2"/>
          </rPr>
          <t xml:space="preserve">
Amgen Reports Fourth Quarter And Full Year 2022 Financial Results
Pg No:24</t>
        </r>
      </text>
    </comment>
    <comment ref="F16" authorId="0" shapeId="0" xr:uid="{2A1FB03A-A68D-414B-BEBC-53E7280A7FFA}">
      <text>
        <r>
          <rPr>
            <b/>
            <sz val="9"/>
            <color indexed="81"/>
            <rFont val="Tahoma"/>
            <family val="2"/>
          </rPr>
          <t>Abhishek M:</t>
        </r>
        <r>
          <rPr>
            <sz val="9"/>
            <color indexed="81"/>
            <rFont val="Tahoma"/>
            <family val="2"/>
          </rPr>
          <t xml:space="preserve">
Amgen Reports Fourth Quarter And Full Year 2019 Financial Results
Pg No: 8
</t>
        </r>
      </text>
    </comment>
    <comment ref="G16" authorId="0" shapeId="0" xr:uid="{C929A73C-51DD-413E-8DC3-C0F074E08C59}">
      <text>
        <r>
          <rPr>
            <b/>
            <sz val="9"/>
            <color indexed="81"/>
            <rFont val="Tahoma"/>
            <family val="2"/>
          </rPr>
          <t>Abhishek M:</t>
        </r>
        <r>
          <rPr>
            <sz val="9"/>
            <color indexed="81"/>
            <rFont val="Tahoma"/>
            <family val="2"/>
          </rPr>
          <t xml:space="preserve">
Amgen Reports Fourth Quarter And Full Year 2020 Financial Results
Pg No: 10</t>
        </r>
      </text>
    </comment>
    <comment ref="H16" authorId="0" shapeId="0" xr:uid="{8C31537B-6DA8-4488-9F02-5064462E600A}">
      <text>
        <r>
          <rPr>
            <b/>
            <sz val="9"/>
            <color indexed="81"/>
            <rFont val="Tahoma"/>
            <family val="2"/>
          </rPr>
          <t>Abhishek M:</t>
        </r>
        <r>
          <rPr>
            <sz val="9"/>
            <color indexed="81"/>
            <rFont val="Tahoma"/>
            <family val="2"/>
          </rPr>
          <t xml:space="preserve">
Amgen Reports Fourth Quarter And Full Year 2021 Financial Results
Pg No:20.</t>
        </r>
      </text>
    </comment>
    <comment ref="I16" authorId="0" shapeId="0" xr:uid="{0EF9F7D0-C4ED-4A18-AE18-0BCDD6E74A8A}">
      <text>
        <r>
          <rPr>
            <b/>
            <sz val="9"/>
            <color indexed="81"/>
            <rFont val="Tahoma"/>
            <family val="2"/>
          </rPr>
          <t>Abhishek M:</t>
        </r>
        <r>
          <rPr>
            <sz val="9"/>
            <color indexed="81"/>
            <rFont val="Tahoma"/>
            <family val="2"/>
          </rPr>
          <t xml:space="preserve">
Amgen Reports Fourth Quarter And Full Year 2022 Financial Results
Pg No:20.</t>
        </r>
      </text>
    </comment>
    <comment ref="J16" authorId="0" shapeId="0" xr:uid="{5A0201CF-CA46-469D-ACAD-F39B59CCD36B}">
      <text>
        <r>
          <rPr>
            <b/>
            <sz val="9"/>
            <color indexed="81"/>
            <rFont val="Tahoma"/>
            <family val="2"/>
          </rPr>
          <t>Abhishek M:</t>
        </r>
        <r>
          <rPr>
            <sz val="9"/>
            <color indexed="81"/>
            <rFont val="Tahoma"/>
            <family val="2"/>
          </rPr>
          <t xml:space="preserve">
Amgen Reports Fourth Quarter And Full Year 2023 Financial Results
Pg No:21</t>
        </r>
      </text>
    </comment>
    <comment ref="F26" authorId="0" shapeId="0" xr:uid="{44D80CF8-A2EC-4333-A0E2-11CE937A40BA}">
      <text>
        <r>
          <rPr>
            <b/>
            <sz val="9"/>
            <color indexed="81"/>
            <rFont val="Tahoma"/>
            <family val="2"/>
          </rPr>
          <t>Abhishek M:</t>
        </r>
        <r>
          <rPr>
            <sz val="9"/>
            <color indexed="81"/>
            <rFont val="Tahoma"/>
            <family val="2"/>
          </rPr>
          <t xml:space="preserve">
Amgen Reports Fourth Quarter And Full Year 2019 Financial Results
Pg No: 8</t>
        </r>
      </text>
    </comment>
    <comment ref="G26" authorId="0" shapeId="0" xr:uid="{E4A86383-F062-4461-A941-DA67C9191560}">
      <text>
        <r>
          <rPr>
            <b/>
            <sz val="9"/>
            <color indexed="81"/>
            <rFont val="Tahoma"/>
            <family val="2"/>
          </rPr>
          <t>Abhishek M:</t>
        </r>
        <r>
          <rPr>
            <sz val="9"/>
            <color indexed="81"/>
            <rFont val="Tahoma"/>
            <family val="2"/>
          </rPr>
          <t xml:space="preserve">
Amgen Reports Fourth Quarter And Full Year 2020 Financial Results
Pg No: 10</t>
        </r>
      </text>
    </comment>
    <comment ref="H26" authorId="0" shapeId="0" xr:uid="{E2775D4F-B58E-4868-B8FA-ED3F284D8CB2}">
      <text>
        <r>
          <rPr>
            <b/>
            <sz val="9"/>
            <color indexed="81"/>
            <rFont val="Tahoma"/>
            <family val="2"/>
          </rPr>
          <t>Abhishek M:</t>
        </r>
        <r>
          <rPr>
            <sz val="9"/>
            <color indexed="81"/>
            <rFont val="Tahoma"/>
            <family val="2"/>
          </rPr>
          <t xml:space="preserve">
Amgen Reports Fourth Quarter And Full Year 2021 Financial Results
Pg No:20.</t>
        </r>
      </text>
    </comment>
    <comment ref="I26" authorId="0" shapeId="0" xr:uid="{EEAEED8C-2884-44C6-9C87-1A6A50BC5E3A}">
      <text>
        <r>
          <rPr>
            <b/>
            <sz val="9"/>
            <color indexed="81"/>
            <rFont val="Tahoma"/>
            <family val="2"/>
          </rPr>
          <t>Abhishek M:</t>
        </r>
        <r>
          <rPr>
            <sz val="9"/>
            <color indexed="81"/>
            <rFont val="Tahoma"/>
            <family val="2"/>
          </rPr>
          <t xml:space="preserve">
Amgen Reports Fourth Quarter And Full Year 2022 Financial Results
Pg No:20.</t>
        </r>
      </text>
    </comment>
    <comment ref="J26" authorId="0" shapeId="0" xr:uid="{5F7DD740-22CB-45FB-A61A-93F1B943DA53}">
      <text>
        <r>
          <rPr>
            <b/>
            <sz val="9"/>
            <color indexed="81"/>
            <rFont val="Tahoma"/>
            <family val="2"/>
          </rPr>
          <t>Abhishek M:</t>
        </r>
        <r>
          <rPr>
            <sz val="9"/>
            <color indexed="81"/>
            <rFont val="Tahoma"/>
            <family val="2"/>
          </rPr>
          <t xml:space="preserve">
Amgen Reports Fourth Quarter And Full Year 2023 Financial Results
Pg No:21</t>
        </r>
      </text>
    </comment>
    <comment ref="G30" authorId="0" shapeId="0" xr:uid="{6D1706F5-8144-4EF8-A54B-0E21CF8C3B9E}">
      <text>
        <r>
          <rPr>
            <b/>
            <sz val="9"/>
            <color indexed="81"/>
            <rFont val="Tahoma"/>
            <family val="2"/>
          </rPr>
          <t>Abhishek M:</t>
        </r>
        <r>
          <rPr>
            <sz val="9"/>
            <color indexed="81"/>
            <rFont val="Tahoma"/>
            <family val="2"/>
          </rPr>
          <t xml:space="preserve">
Amgen Reports Fourth Quarter And Full Year 2020 Financial Results
Pg No: 10</t>
        </r>
      </text>
    </comment>
    <comment ref="H30" authorId="0" shapeId="0" xr:uid="{80DBD73D-1D11-4CBB-AEF1-FEAE99981DFA}">
      <text>
        <r>
          <rPr>
            <b/>
            <sz val="9"/>
            <color indexed="81"/>
            <rFont val="Tahoma"/>
            <family val="2"/>
          </rPr>
          <t>Abhishek M:</t>
        </r>
        <r>
          <rPr>
            <sz val="9"/>
            <color indexed="81"/>
            <rFont val="Tahoma"/>
            <family val="2"/>
          </rPr>
          <t xml:space="preserve">
Amgen Reports Fourth Quarter And Full Year 2021 Financial Results
Pg No:20.</t>
        </r>
      </text>
    </comment>
    <comment ref="F34" authorId="0" shapeId="0" xr:uid="{2CC17318-98C7-4649-A424-67E102C17D8C}">
      <text>
        <r>
          <rPr>
            <b/>
            <sz val="9"/>
            <color indexed="81"/>
            <rFont val="Tahoma"/>
            <family val="2"/>
          </rPr>
          <t>Abhishek M:</t>
        </r>
        <r>
          <rPr>
            <sz val="9"/>
            <color indexed="81"/>
            <rFont val="Tahoma"/>
            <family val="2"/>
          </rPr>
          <t xml:space="preserve">
Amgen Reports Fourth Quarter And Full Year 2019 Financial Results
Pg No: 8</t>
        </r>
      </text>
    </comment>
    <comment ref="G34" authorId="0" shapeId="0" xr:uid="{9850D103-4DEC-4A07-9DB7-214DD2A87E40}">
      <text>
        <r>
          <rPr>
            <b/>
            <sz val="9"/>
            <color indexed="81"/>
            <rFont val="Tahoma"/>
            <family val="2"/>
          </rPr>
          <t>Abhishek M:</t>
        </r>
        <r>
          <rPr>
            <sz val="9"/>
            <color indexed="81"/>
            <rFont val="Tahoma"/>
            <family val="2"/>
          </rPr>
          <t xml:space="preserve">
Amgen Reports Fourth Quarter And Full Year 2020 Financial Results
Pg No: 10</t>
        </r>
      </text>
    </comment>
    <comment ref="H34" authorId="0" shapeId="0" xr:uid="{48FAF653-1E1D-496E-96B3-AE4032519315}">
      <text>
        <r>
          <rPr>
            <b/>
            <sz val="9"/>
            <color indexed="81"/>
            <rFont val="Tahoma"/>
            <family val="2"/>
          </rPr>
          <t>Abhishek M:</t>
        </r>
        <r>
          <rPr>
            <sz val="9"/>
            <color indexed="81"/>
            <rFont val="Tahoma"/>
            <family val="2"/>
          </rPr>
          <t xml:space="preserve">
Amgen Reports Fourth Quarter And Full Year 2021 Financial Results
Pg No:20.</t>
        </r>
      </text>
    </comment>
    <comment ref="I34" authorId="0" shapeId="0" xr:uid="{53284B85-AC9A-4448-8856-95C4741C01EB}">
      <text>
        <r>
          <rPr>
            <b/>
            <sz val="9"/>
            <color indexed="81"/>
            <rFont val="Tahoma"/>
            <family val="2"/>
          </rPr>
          <t>Abhishek M:</t>
        </r>
        <r>
          <rPr>
            <sz val="9"/>
            <color indexed="81"/>
            <rFont val="Tahoma"/>
            <family val="2"/>
          </rPr>
          <t xml:space="preserve">
Amgen Reports Fourth Quarter And Full Year 2022 Financial Results
Pg No:20.</t>
        </r>
      </text>
    </comment>
    <comment ref="J34" authorId="0" shapeId="0" xr:uid="{D8A6A0CC-2C4C-4C80-9AB0-1301D5631DDD}">
      <text>
        <r>
          <rPr>
            <b/>
            <sz val="9"/>
            <color indexed="81"/>
            <rFont val="Tahoma"/>
            <family val="2"/>
          </rPr>
          <t>Abhishek M:</t>
        </r>
        <r>
          <rPr>
            <sz val="9"/>
            <color indexed="81"/>
            <rFont val="Tahoma"/>
            <family val="2"/>
          </rPr>
          <t xml:space="preserve">
Amgen Reports Fourth Quarter And Full Year 2023 Financial Results
Pg No:21</t>
        </r>
      </text>
    </comment>
    <comment ref="F41" authorId="0" shapeId="0" xr:uid="{3C75179B-CA45-4968-87F9-6AB31614B808}">
      <text>
        <r>
          <rPr>
            <b/>
            <sz val="9"/>
            <color indexed="81"/>
            <rFont val="Tahoma"/>
            <family val="2"/>
          </rPr>
          <t>Abhishek M:</t>
        </r>
        <r>
          <rPr>
            <sz val="9"/>
            <color indexed="81"/>
            <rFont val="Tahoma"/>
            <family val="2"/>
          </rPr>
          <t xml:space="preserve">
Amgen Reports Fourth Quarter And Full Year 2019 Financial Results
Pg No: 4</t>
        </r>
      </text>
    </comment>
    <comment ref="G41" authorId="0" shapeId="0" xr:uid="{DFBE9A1E-C91F-4AA4-8B67-E01FC1B512E5}">
      <text>
        <r>
          <rPr>
            <b/>
            <sz val="9"/>
            <color indexed="81"/>
            <rFont val="Tahoma"/>
            <family val="2"/>
          </rPr>
          <t>Abhishek M:</t>
        </r>
        <r>
          <rPr>
            <sz val="9"/>
            <color indexed="81"/>
            <rFont val="Tahoma"/>
            <family val="2"/>
          </rPr>
          <t xml:space="preserve">
Amgen Reports Fourth Quarter And Full Year 2020 Financial Results
Pg No: 10</t>
        </r>
      </text>
    </comment>
    <comment ref="H41" authorId="0" shapeId="0" xr:uid="{92EACE0F-6A77-4544-967A-67E5A69012F0}">
      <text>
        <r>
          <rPr>
            <b/>
            <sz val="9"/>
            <color indexed="81"/>
            <rFont val="Tahoma"/>
            <family val="2"/>
          </rPr>
          <t>Abhishek M:</t>
        </r>
        <r>
          <rPr>
            <sz val="9"/>
            <color indexed="81"/>
            <rFont val="Tahoma"/>
            <family val="2"/>
          </rPr>
          <t xml:space="preserve">
Amgen Reports Fourth Quarter And Full Year 2021 Financial Results
Pg No:20.</t>
        </r>
      </text>
    </comment>
    <comment ref="I41" authorId="0" shapeId="0" xr:uid="{49E2094D-58C6-466D-92B0-3A53DBF71B74}">
      <text>
        <r>
          <rPr>
            <b/>
            <sz val="9"/>
            <color indexed="81"/>
            <rFont val="Tahoma"/>
            <family val="2"/>
          </rPr>
          <t>Abhishek M:</t>
        </r>
        <r>
          <rPr>
            <sz val="9"/>
            <color indexed="81"/>
            <rFont val="Tahoma"/>
            <family val="2"/>
          </rPr>
          <t xml:space="preserve">
Amgen Reports Fourth Quarter And Full Year 2022 Financial Results
Pg No:20.</t>
        </r>
      </text>
    </comment>
    <comment ref="J41" authorId="0" shapeId="0" xr:uid="{3F055438-7312-4AAC-87C2-906CE6E4FB67}">
      <text>
        <r>
          <rPr>
            <b/>
            <sz val="9"/>
            <color indexed="81"/>
            <rFont val="Tahoma"/>
            <family val="2"/>
          </rPr>
          <t>Abhishek M:</t>
        </r>
        <r>
          <rPr>
            <sz val="9"/>
            <color indexed="81"/>
            <rFont val="Tahoma"/>
            <family val="2"/>
          </rPr>
          <t xml:space="preserve">
Amgen Reports Fourth Quarter And Full Year 2023 Financial Results
Pg No:21</t>
        </r>
      </text>
    </comment>
    <comment ref="F45" authorId="0" shapeId="0" xr:uid="{501D6D83-A6A2-435D-B75A-69CBF92CFE61}">
      <text>
        <r>
          <rPr>
            <b/>
            <sz val="9"/>
            <color indexed="81"/>
            <rFont val="Tahoma"/>
            <family val="2"/>
          </rPr>
          <t>Abhishek M:</t>
        </r>
        <r>
          <rPr>
            <sz val="9"/>
            <color indexed="81"/>
            <rFont val="Tahoma"/>
            <family val="2"/>
          </rPr>
          <t xml:space="preserve">
Amgen Reports Fourth Quarter And Full Year 2019 Financial Results
Pg No: 8</t>
        </r>
      </text>
    </comment>
    <comment ref="G45" authorId="0" shapeId="0" xr:uid="{523613CB-F1CC-4E64-B280-ABFC09555197}">
      <text>
        <r>
          <rPr>
            <b/>
            <sz val="9"/>
            <color indexed="81"/>
            <rFont val="Tahoma"/>
            <family val="2"/>
          </rPr>
          <t>Abhishek M:</t>
        </r>
        <r>
          <rPr>
            <sz val="9"/>
            <color indexed="81"/>
            <rFont val="Tahoma"/>
            <family val="2"/>
          </rPr>
          <t xml:space="preserve">
Amgen Reports Fourth Quarter And Full Year 2020 Financial Results
Pg No: 10</t>
        </r>
      </text>
    </comment>
    <comment ref="H45" authorId="0" shapeId="0" xr:uid="{CF9C8DB4-808F-4978-B429-17797204B02E}">
      <text>
        <r>
          <rPr>
            <b/>
            <sz val="9"/>
            <color indexed="81"/>
            <rFont val="Tahoma"/>
            <family val="2"/>
          </rPr>
          <t>Abhishek M:</t>
        </r>
        <r>
          <rPr>
            <sz val="9"/>
            <color indexed="81"/>
            <rFont val="Tahoma"/>
            <family val="2"/>
          </rPr>
          <t xml:space="preserve">
Amgen Reports Fourth Quarter And Full Year 2021 Financial Results
Pg No:20.</t>
        </r>
      </text>
    </comment>
    <comment ref="I45" authorId="0" shapeId="0" xr:uid="{C5ACF484-6837-4188-8ECD-E3B0C61E862A}">
      <text>
        <r>
          <rPr>
            <b/>
            <sz val="9"/>
            <color indexed="81"/>
            <rFont val="Tahoma"/>
            <family val="2"/>
          </rPr>
          <t>Abhishek M:</t>
        </r>
        <r>
          <rPr>
            <sz val="9"/>
            <color indexed="81"/>
            <rFont val="Tahoma"/>
            <family val="2"/>
          </rPr>
          <t xml:space="preserve">
Amgen Reports Fourth Quarter And Full Year 2022 Financial Results
Pg No:20.</t>
        </r>
      </text>
    </comment>
    <comment ref="J45" authorId="0" shapeId="0" xr:uid="{39202D99-9032-465F-8B4C-5562D5D56700}">
      <text>
        <r>
          <rPr>
            <b/>
            <sz val="9"/>
            <color indexed="81"/>
            <rFont val="Tahoma"/>
            <family val="2"/>
          </rPr>
          <t>Abhishek M:</t>
        </r>
        <r>
          <rPr>
            <sz val="9"/>
            <color indexed="81"/>
            <rFont val="Tahoma"/>
            <family val="2"/>
          </rPr>
          <t xml:space="preserve">
Amgen Reports Fourth Quarter And Full Year 2023 Financial Results
Pg No:21</t>
        </r>
      </text>
    </comment>
    <comment ref="J49" authorId="0" shapeId="0" xr:uid="{035EC792-13D0-4DA2-94AE-80DECE590654}">
      <text>
        <r>
          <rPr>
            <b/>
            <sz val="9"/>
            <color indexed="81"/>
            <rFont val="Tahoma"/>
            <family val="2"/>
          </rPr>
          <t>Abhishek M:</t>
        </r>
        <r>
          <rPr>
            <sz val="9"/>
            <color indexed="81"/>
            <rFont val="Tahoma"/>
            <family val="2"/>
          </rPr>
          <t xml:space="preserve">
Amgen Reports Fourth Quarter And Full Year 2023 Financial Results
Pg No:21</t>
        </r>
      </text>
    </comment>
    <comment ref="I59" authorId="0" shapeId="0" xr:uid="{579EC185-30DB-4CD2-975C-46E28A51CCD1}">
      <text>
        <r>
          <rPr>
            <b/>
            <sz val="9"/>
            <color indexed="81"/>
            <rFont val="Tahoma"/>
            <family val="2"/>
          </rPr>
          <t>Abhishek M:</t>
        </r>
        <r>
          <rPr>
            <sz val="9"/>
            <color indexed="81"/>
            <rFont val="Tahoma"/>
            <family val="2"/>
          </rPr>
          <t xml:space="preserve">
Amgen Reports Fourth Quarter And Full Year 2022 Financial Results
Pg No:21.</t>
        </r>
      </text>
    </comment>
    <comment ref="J59" authorId="0" shapeId="0" xr:uid="{108D4A23-7662-4ECC-B459-669883A4741F}">
      <text>
        <r>
          <rPr>
            <b/>
            <sz val="9"/>
            <color indexed="81"/>
            <rFont val="Tahoma"/>
            <family val="2"/>
          </rPr>
          <t>Abhishek M:</t>
        </r>
        <r>
          <rPr>
            <sz val="9"/>
            <color indexed="81"/>
            <rFont val="Tahoma"/>
            <family val="2"/>
          </rPr>
          <t xml:space="preserve">
Amgen Reports Fourth Quarter And Full Year 2023 Financial Results
Pg No:22</t>
        </r>
      </text>
    </comment>
    <comment ref="F63" authorId="0" shapeId="0" xr:uid="{40436E3A-A6BC-46ED-B2CB-A658692279F3}">
      <text>
        <r>
          <rPr>
            <b/>
            <sz val="9"/>
            <color indexed="81"/>
            <rFont val="Tahoma"/>
            <family val="2"/>
          </rPr>
          <t>Abhishek M:</t>
        </r>
        <r>
          <rPr>
            <sz val="9"/>
            <color indexed="81"/>
            <rFont val="Tahoma"/>
            <family val="2"/>
          </rPr>
          <t xml:space="preserve">
Amgen Reports Fourth Quarter And Full Year 2019 Financial Results
Pg No: 9
</t>
        </r>
      </text>
    </comment>
    <comment ref="G63" authorId="0" shapeId="0" xr:uid="{9D0EF337-2CF6-40D7-B44E-92BAE492D5FE}">
      <text>
        <r>
          <rPr>
            <b/>
            <sz val="9"/>
            <color indexed="81"/>
            <rFont val="Tahoma"/>
            <family val="2"/>
          </rPr>
          <t>Abhishek M:</t>
        </r>
        <r>
          <rPr>
            <sz val="9"/>
            <color indexed="81"/>
            <rFont val="Tahoma"/>
            <family val="2"/>
          </rPr>
          <t xml:space="preserve">
Amgen Reports Fourth Quarter And Full Year 2020 Financial Results
Pg No: 11</t>
        </r>
      </text>
    </comment>
    <comment ref="H63" authorId="0" shapeId="0" xr:uid="{F357BBFE-BDC4-4421-A842-1E8980F811C7}">
      <text>
        <r>
          <rPr>
            <b/>
            <sz val="9"/>
            <color indexed="81"/>
            <rFont val="Tahoma"/>
            <family val="2"/>
          </rPr>
          <t>Abhishek M:</t>
        </r>
        <r>
          <rPr>
            <sz val="9"/>
            <color indexed="81"/>
            <rFont val="Tahoma"/>
            <family val="2"/>
          </rPr>
          <t xml:space="preserve">
Amgen Reports Fourth Quarter And Full Year 2021 Financial Results
Pg No:21.</t>
        </r>
      </text>
    </comment>
    <comment ref="I63" authorId="0" shapeId="0" xr:uid="{D06DE933-953A-48CE-8660-4B5AC8ED291F}">
      <text>
        <r>
          <rPr>
            <b/>
            <sz val="9"/>
            <color indexed="81"/>
            <rFont val="Tahoma"/>
            <family val="2"/>
          </rPr>
          <t>Abhishek M:</t>
        </r>
        <r>
          <rPr>
            <sz val="9"/>
            <color indexed="81"/>
            <rFont val="Tahoma"/>
            <family val="2"/>
          </rPr>
          <t xml:space="preserve">
Amgen Reports Fourth Quarter And Full Year 2022 Financial Results
Pg No:21</t>
        </r>
      </text>
    </comment>
    <comment ref="J63" authorId="0" shapeId="0" xr:uid="{E1736704-1229-4EE3-9AA5-71A8AD1533B4}">
      <text>
        <r>
          <rPr>
            <b/>
            <sz val="9"/>
            <color indexed="81"/>
            <rFont val="Tahoma"/>
            <family val="2"/>
          </rPr>
          <t>Abhishek M:</t>
        </r>
        <r>
          <rPr>
            <sz val="9"/>
            <color indexed="81"/>
            <rFont val="Tahoma"/>
            <family val="2"/>
          </rPr>
          <t xml:space="preserve">
Amgen Reports Fourth Quarter And Full Year 2023 Financial Results
Pg No:22</t>
        </r>
      </text>
    </comment>
    <comment ref="F67" authorId="0" shapeId="0" xr:uid="{2A3D9A57-2E6D-4B48-89C3-CD481AF85D85}">
      <text>
        <r>
          <rPr>
            <b/>
            <sz val="9"/>
            <color indexed="81"/>
            <rFont val="Tahoma"/>
            <family val="2"/>
          </rPr>
          <t>Abhishek M:</t>
        </r>
        <r>
          <rPr>
            <sz val="9"/>
            <color indexed="81"/>
            <rFont val="Tahoma"/>
            <family val="2"/>
          </rPr>
          <t xml:space="preserve">
Amgen Reports Fourth Quarter And Full Year 2019 Financial Results
Pg No: 8</t>
        </r>
      </text>
    </comment>
    <comment ref="G67" authorId="0" shapeId="0" xr:uid="{CC950977-A693-48BA-AB27-74323D1372CB}">
      <text>
        <r>
          <rPr>
            <b/>
            <sz val="9"/>
            <color indexed="81"/>
            <rFont val="Tahoma"/>
            <family val="2"/>
          </rPr>
          <t>Abhishek M:</t>
        </r>
        <r>
          <rPr>
            <sz val="9"/>
            <color indexed="81"/>
            <rFont val="Tahoma"/>
            <family val="2"/>
          </rPr>
          <t xml:space="preserve">
Amgen Reports Fourth Quarter And Full Year 2020 Financial Results
Pg No: 11</t>
        </r>
      </text>
    </comment>
    <comment ref="H67" authorId="0" shapeId="0" xr:uid="{54E055BD-5538-4465-A8E7-4E4CAF5B0B83}">
      <text>
        <r>
          <rPr>
            <b/>
            <sz val="9"/>
            <color indexed="81"/>
            <rFont val="Tahoma"/>
            <family val="2"/>
          </rPr>
          <t>Abhishek M:</t>
        </r>
        <r>
          <rPr>
            <sz val="9"/>
            <color indexed="81"/>
            <rFont val="Tahoma"/>
            <family val="2"/>
          </rPr>
          <t xml:space="preserve">
Amgen Reports Fourth Quarter And Full Year 2021 Financial Results
Pg No:21.</t>
        </r>
      </text>
    </comment>
    <comment ref="I67" authorId="0" shapeId="0" xr:uid="{8B33E601-3364-48CE-9829-54BED70B2F56}">
      <text>
        <r>
          <rPr>
            <b/>
            <sz val="9"/>
            <color indexed="81"/>
            <rFont val="Tahoma"/>
            <family val="2"/>
          </rPr>
          <t>Abhishek M:</t>
        </r>
        <r>
          <rPr>
            <sz val="9"/>
            <color indexed="81"/>
            <rFont val="Tahoma"/>
            <family val="2"/>
          </rPr>
          <t xml:space="preserve">
Amgen Reports Fourth Quarter And Full Year 2022 Financial Results
Pg No:21.</t>
        </r>
      </text>
    </comment>
    <comment ref="J67" authorId="0" shapeId="0" xr:uid="{2F35F26C-07CE-4B69-933B-900D1EF7308D}">
      <text>
        <r>
          <rPr>
            <b/>
            <sz val="9"/>
            <color indexed="81"/>
            <rFont val="Tahoma"/>
            <family val="2"/>
          </rPr>
          <t>Abhishek M:</t>
        </r>
        <r>
          <rPr>
            <sz val="9"/>
            <color indexed="81"/>
            <rFont val="Tahoma"/>
            <family val="2"/>
          </rPr>
          <t xml:space="preserve">
Amgen Reports Fourth Quarter And Full Year 2023 Financial Results
Pg No:22</t>
        </r>
      </text>
    </comment>
    <comment ref="F71" authorId="0" shapeId="0" xr:uid="{4CC7D468-11D5-46A8-B7E6-770D30433F12}">
      <text>
        <r>
          <rPr>
            <b/>
            <sz val="9"/>
            <color indexed="81"/>
            <rFont val="Tahoma"/>
            <family val="2"/>
          </rPr>
          <t>Abhishek M:</t>
        </r>
        <r>
          <rPr>
            <sz val="9"/>
            <color indexed="81"/>
            <rFont val="Tahoma"/>
            <family val="2"/>
          </rPr>
          <t xml:space="preserve">
Amgen Reports Fourth Quarter And Full Year 2019 Financial Results
Pg No: 9</t>
        </r>
      </text>
    </comment>
    <comment ref="G71" authorId="0" shapeId="0" xr:uid="{FB1CBB71-E03B-4CFF-A2BC-1BF9D8D94DC5}">
      <text>
        <r>
          <rPr>
            <b/>
            <sz val="9"/>
            <color indexed="81"/>
            <rFont val="Tahoma"/>
            <family val="2"/>
          </rPr>
          <t>Abhishek M:</t>
        </r>
        <r>
          <rPr>
            <sz val="9"/>
            <color indexed="81"/>
            <rFont val="Tahoma"/>
            <family val="2"/>
          </rPr>
          <t xml:space="preserve">
Amgen Reports Fourth Quarter And Full Year 2020 Financial Results
Pg No: 11</t>
        </r>
      </text>
    </comment>
    <comment ref="H71" authorId="0" shapeId="0" xr:uid="{D43904FE-4F5C-4A99-AFC0-2365BE17E703}">
      <text>
        <r>
          <rPr>
            <b/>
            <sz val="9"/>
            <color indexed="81"/>
            <rFont val="Tahoma"/>
            <family val="2"/>
          </rPr>
          <t>Abhishek M:</t>
        </r>
        <r>
          <rPr>
            <sz val="9"/>
            <color indexed="81"/>
            <rFont val="Tahoma"/>
            <family val="2"/>
          </rPr>
          <t xml:space="preserve">
Amgen Reports Fourth Quarter And Full Year 2021 Financial Results
Pg No:21.</t>
        </r>
      </text>
    </comment>
    <comment ref="I71" authorId="0" shapeId="0" xr:uid="{8E410D4A-6FD0-4568-9FCC-89965B792B34}">
      <text>
        <r>
          <rPr>
            <b/>
            <sz val="9"/>
            <color indexed="81"/>
            <rFont val="Tahoma"/>
            <family val="2"/>
          </rPr>
          <t>Abhishek M:</t>
        </r>
        <r>
          <rPr>
            <sz val="9"/>
            <color indexed="81"/>
            <rFont val="Tahoma"/>
            <family val="2"/>
          </rPr>
          <t xml:space="preserve">
Amgen Reports Fourth Quarter And Full Year 2022 Financial Results
Pg No:21.</t>
        </r>
      </text>
    </comment>
    <comment ref="J71" authorId="0" shapeId="0" xr:uid="{9E1D681B-8A01-4FCC-BF4D-E5FFE71A3134}">
      <text>
        <r>
          <rPr>
            <b/>
            <sz val="9"/>
            <color indexed="81"/>
            <rFont val="Tahoma"/>
            <family val="2"/>
          </rPr>
          <t>Abhishek M:</t>
        </r>
        <r>
          <rPr>
            <sz val="9"/>
            <color indexed="81"/>
            <rFont val="Tahoma"/>
            <family val="2"/>
          </rPr>
          <t xml:space="preserve">
Amgen Reports Fourth Quarter And Full Year 2023 Financial Results
Pg No:22</t>
        </r>
      </text>
    </comment>
    <comment ref="K72" authorId="0" shapeId="0" xr:uid="{F1F2F628-328D-4C89-BD93-9E047FE04217}">
      <text>
        <r>
          <rPr>
            <b/>
            <sz val="9"/>
            <color indexed="81"/>
            <rFont val="Tahoma"/>
            <family val="2"/>
          </rPr>
          <t>Abhishek M:</t>
        </r>
        <r>
          <rPr>
            <sz val="9"/>
            <color indexed="81"/>
            <rFont val="Tahoma"/>
            <family val="2"/>
          </rPr>
          <t xml:space="preserve">
Assuming Federal tax rate</t>
        </r>
      </text>
    </comment>
    <comment ref="F75" authorId="0" shapeId="0" xr:uid="{33AF0581-5290-4D70-89F2-27D0DF7024D6}">
      <text>
        <r>
          <rPr>
            <b/>
            <sz val="9"/>
            <color indexed="81"/>
            <rFont val="Tahoma"/>
            <family val="2"/>
          </rPr>
          <t>Abhishek M:</t>
        </r>
        <r>
          <rPr>
            <sz val="9"/>
            <color indexed="81"/>
            <rFont val="Tahoma"/>
            <family val="2"/>
          </rPr>
          <t xml:space="preserve">
Amgen Reports Fourth Quarter And Full Year 2019 Financial Results
Pg No: 9</t>
        </r>
      </text>
    </comment>
    <comment ref="G75" authorId="0" shapeId="0" xr:uid="{8E320B99-E59F-4AC3-8C19-C6C9D5454E94}">
      <text>
        <r>
          <rPr>
            <b/>
            <sz val="9"/>
            <color indexed="81"/>
            <rFont val="Tahoma"/>
            <family val="2"/>
          </rPr>
          <t>Abhishek M:</t>
        </r>
        <r>
          <rPr>
            <sz val="9"/>
            <color indexed="81"/>
            <rFont val="Tahoma"/>
            <family val="2"/>
          </rPr>
          <t xml:space="preserve">
Amgen Reports Fourth Quarter And Full Year 2020 Financial Results
Pg No: 11</t>
        </r>
      </text>
    </comment>
    <comment ref="H75" authorId="0" shapeId="0" xr:uid="{C09F1B94-5ECC-492D-9E86-F10F75BE2437}">
      <text>
        <r>
          <rPr>
            <b/>
            <sz val="9"/>
            <color indexed="81"/>
            <rFont val="Tahoma"/>
            <family val="2"/>
          </rPr>
          <t>Abhishek M:</t>
        </r>
        <r>
          <rPr>
            <sz val="9"/>
            <color indexed="81"/>
            <rFont val="Tahoma"/>
            <family val="2"/>
          </rPr>
          <t xml:space="preserve">
Amgen Reports Fourth Quarter And Full Year 2021 Financial Results
Pg No:21.</t>
        </r>
      </text>
    </comment>
    <comment ref="I75" authorId="0" shapeId="0" xr:uid="{02911BC5-92C7-4F11-BB09-ABE2F727C93D}">
      <text>
        <r>
          <rPr>
            <b/>
            <sz val="9"/>
            <color indexed="81"/>
            <rFont val="Tahoma"/>
            <family val="2"/>
          </rPr>
          <t>Abhishek M:</t>
        </r>
        <r>
          <rPr>
            <sz val="9"/>
            <color indexed="81"/>
            <rFont val="Tahoma"/>
            <family val="2"/>
          </rPr>
          <t xml:space="preserve">
Amgen Reports Fourth Quarter And Full Year 2022 Financial Results
Pg No:21.</t>
        </r>
      </text>
    </comment>
    <comment ref="J75" authorId="0" shapeId="0" xr:uid="{4ADF98B9-54EB-4E5A-9014-A486F590CC2F}">
      <text>
        <r>
          <rPr>
            <b/>
            <sz val="9"/>
            <color indexed="81"/>
            <rFont val="Tahoma"/>
            <family val="2"/>
          </rPr>
          <t>Abhishek M:</t>
        </r>
        <r>
          <rPr>
            <sz val="9"/>
            <color indexed="81"/>
            <rFont val="Tahoma"/>
            <family val="2"/>
          </rPr>
          <t xml:space="preserve">
Amgen Reports Fourth Quarter And Full Year 2023 Financial Results
Pg No:22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Abhishek M</author>
  </authors>
  <commentList>
    <comment ref="K33" authorId="0" shapeId="0" xr:uid="{55407FAE-27F9-444F-BFF3-B894E828C3A2}">
      <text>
        <r>
          <rPr>
            <b/>
            <sz val="9"/>
            <color indexed="81"/>
            <rFont val="Tahoma"/>
            <family val="2"/>
          </rPr>
          <t>Abhishek M:</t>
        </r>
        <r>
          <rPr>
            <sz val="9"/>
            <color indexed="81"/>
            <rFont val="Tahoma"/>
            <family val="2"/>
          </rPr>
          <t xml:space="preserve">
Assuming an addition of 10% intangibles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Abhishek M</author>
  </authors>
  <commentList>
    <comment ref="B3" authorId="0" shapeId="0" xr:uid="{D31ABE67-50DC-40FD-A2AA-22F0D9A3A772}">
      <text>
        <r>
          <rPr>
            <b/>
            <sz val="9"/>
            <color indexed="81"/>
            <rFont val="Tahoma"/>
            <family val="2"/>
          </rPr>
          <t>Abhishek M:</t>
        </r>
        <r>
          <rPr>
            <sz val="9"/>
            <color indexed="81"/>
            <rFont val="Tahoma"/>
            <family val="2"/>
          </rPr>
          <t xml:space="preserve">
Since Biotech Companies have long cycles, and weekly beta will smooth out the one off differences during the week.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Abhishek M</author>
  </authors>
  <commentList>
    <comment ref="H9" authorId="0" shapeId="0" xr:uid="{369D79B3-3E76-41D6-9597-71AA99DEBEC5}">
      <text>
        <r>
          <rPr>
            <b/>
            <sz val="9"/>
            <color indexed="81"/>
            <rFont val="Tahoma"/>
            <family val="2"/>
          </rPr>
          <t>Abhishek M:</t>
        </r>
        <r>
          <rPr>
            <sz val="9"/>
            <color indexed="81"/>
            <rFont val="Tahoma"/>
            <family val="2"/>
          </rPr>
          <t xml:space="preserve">
Damodaran ERP Data Set 
Baa1 Moody's Rating for AMGEN Inc.</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Abhishek M</author>
  </authors>
  <commentList>
    <comment ref="F37" authorId="0" shapeId="0" xr:uid="{968DBF46-32FF-440E-A7B0-B8FEF5030ED3}">
      <text>
        <r>
          <rPr>
            <b/>
            <sz val="9"/>
            <color indexed="81"/>
            <rFont val="Tahoma"/>
            <family val="2"/>
          </rPr>
          <t>Abhishek M:</t>
        </r>
        <r>
          <rPr>
            <sz val="9"/>
            <color indexed="81"/>
            <rFont val="Tahoma"/>
            <family val="2"/>
          </rPr>
          <t xml:space="preserve">
US GDP Grows at 1.9%, </t>
        </r>
      </text>
    </comment>
    <comment ref="F41" authorId="0" shapeId="0" xr:uid="{F4CADFAA-29BD-46BE-83EA-AB07FE9DF2B1}">
      <text>
        <r>
          <rPr>
            <b/>
            <sz val="9"/>
            <color indexed="81"/>
            <rFont val="Tahoma"/>
            <family val="2"/>
          </rPr>
          <t>Abhishek M:</t>
        </r>
        <r>
          <rPr>
            <sz val="9"/>
            <color indexed="81"/>
            <rFont val="Tahoma"/>
            <family val="2"/>
          </rPr>
          <t xml:space="preserve">
Equity investments in BieGene and Neumora.</t>
        </r>
      </text>
    </comment>
    <comment ref="F51" authorId="0" shapeId="0" xr:uid="{5AB242B0-3D62-4DBF-B38B-22B37FBE1691}">
      <text>
        <r>
          <rPr>
            <b/>
            <sz val="9"/>
            <color indexed="81"/>
            <rFont val="Tahoma"/>
          </rPr>
          <t>Abhishek M:</t>
        </r>
        <r>
          <rPr>
            <sz val="9"/>
            <color indexed="81"/>
            <rFont val="Tahoma"/>
          </rPr>
          <t xml:space="preserve">
Taken from Median of Peer EV/EBITDA
</t>
        </r>
      </text>
    </comment>
    <comment ref="F56" authorId="0" shapeId="0" xr:uid="{8D588F11-F4AC-4DF6-8330-17BD7EC79CCB}">
      <text>
        <r>
          <rPr>
            <b/>
            <sz val="9"/>
            <color indexed="81"/>
            <rFont val="Tahoma"/>
          </rPr>
          <t>Abhishek M:</t>
        </r>
        <r>
          <rPr>
            <sz val="9"/>
            <color indexed="81"/>
            <rFont val="Tahoma"/>
          </rPr>
          <t xml:space="preserve">
Equity investments in BieGene and Neumora.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<sst xmlns="http://schemas.openxmlformats.org/spreadsheetml/2006/main" count="761" uniqueCount="428">
  <si>
    <t>Repatha</t>
  </si>
  <si>
    <t>Prolia</t>
  </si>
  <si>
    <t>Otezla</t>
  </si>
  <si>
    <t>XGEVA</t>
  </si>
  <si>
    <t>Aranesp</t>
  </si>
  <si>
    <t>Nplate</t>
  </si>
  <si>
    <t>Neulasta</t>
  </si>
  <si>
    <t>MVASI</t>
  </si>
  <si>
    <t>Vectibix</t>
  </si>
  <si>
    <t>Epogen</t>
  </si>
  <si>
    <t>Aimovig</t>
  </si>
  <si>
    <t>Parsabiv</t>
  </si>
  <si>
    <t>AMGEN Inc</t>
  </si>
  <si>
    <t>Segment Information</t>
  </si>
  <si>
    <t>12 Months</t>
  </si>
  <si>
    <t>Dec 31 2013</t>
  </si>
  <si>
    <t>Dec 31 2014</t>
  </si>
  <si>
    <t>Dec 31 2015</t>
  </si>
  <si>
    <t>Dec 31 2016</t>
  </si>
  <si>
    <t>Dec 31 2017</t>
  </si>
  <si>
    <t>Dec 31 2018</t>
  </si>
  <si>
    <t>Dec 31 2019</t>
  </si>
  <si>
    <t>Dec 31 2020</t>
  </si>
  <si>
    <t>Dec 31 2021</t>
  </si>
  <si>
    <t>Dec 31 2022</t>
  </si>
  <si>
    <t>US</t>
  </si>
  <si>
    <t>ROW</t>
  </si>
  <si>
    <t>Others</t>
  </si>
  <si>
    <t>Growth</t>
  </si>
  <si>
    <t>Organic Growth</t>
  </si>
  <si>
    <t>(U.S &amp; Canada Only)</t>
  </si>
  <si>
    <t>ENBREL</t>
  </si>
  <si>
    <t>Sensipar (U.S)/Mimpara (ROW)</t>
  </si>
  <si>
    <t>Biosimilars</t>
  </si>
  <si>
    <t>KANJINTI</t>
  </si>
  <si>
    <t>AMGEVITA</t>
  </si>
  <si>
    <t>KYPROLIS</t>
  </si>
  <si>
    <t>NEUPOGEN</t>
  </si>
  <si>
    <t>EVENITY</t>
  </si>
  <si>
    <t>BLINCYTO</t>
  </si>
  <si>
    <t>LUMAKRAS (U.S) / LUMYKRAS (ROW)</t>
  </si>
  <si>
    <t>TEZSPIRE</t>
  </si>
  <si>
    <t>TAVNEOS</t>
  </si>
  <si>
    <t>Yearly Total</t>
  </si>
  <si>
    <t>Yearly Total Revenue</t>
  </si>
  <si>
    <t>Quarter Ending 31 march 2023</t>
  </si>
  <si>
    <t>Quarter Ending 30 June 2023</t>
  </si>
  <si>
    <t>Quarter Ending 30 September 2023</t>
  </si>
  <si>
    <t>Quarter Ending 31 December 2023</t>
  </si>
  <si>
    <t>YOY GROWTH</t>
  </si>
  <si>
    <t>Tepezza</t>
  </si>
  <si>
    <t>Krystexxa</t>
  </si>
  <si>
    <t>Uplizna</t>
  </si>
  <si>
    <t>Ultra Rare products</t>
  </si>
  <si>
    <t>FY-13A</t>
  </si>
  <si>
    <t>FY-14A</t>
  </si>
  <si>
    <t>FY-15A</t>
  </si>
  <si>
    <t>FY-16A</t>
  </si>
  <si>
    <t>FY-17A</t>
  </si>
  <si>
    <t>FY-18A</t>
  </si>
  <si>
    <t>FY-19A</t>
  </si>
  <si>
    <t>FY-20A</t>
  </si>
  <si>
    <t>FY-21A</t>
  </si>
  <si>
    <t>FY-22A</t>
  </si>
  <si>
    <t>FY23A</t>
  </si>
  <si>
    <t>Dec 31 2024</t>
  </si>
  <si>
    <t>FY-24E</t>
  </si>
  <si>
    <t>Dec 31 2025</t>
  </si>
  <si>
    <t>Dec 31 2026</t>
  </si>
  <si>
    <t>Dec 31 2027</t>
  </si>
  <si>
    <t>Dec 31 2028</t>
  </si>
  <si>
    <t>FY-25E</t>
  </si>
  <si>
    <t>FY-26E</t>
  </si>
  <si>
    <t>FY-27E</t>
  </si>
  <si>
    <t>FY-28E</t>
  </si>
  <si>
    <t>Total By Area</t>
  </si>
  <si>
    <t>QOQ GROWTH</t>
  </si>
  <si>
    <t>Source</t>
  </si>
  <si>
    <t>10-K Report 2013</t>
  </si>
  <si>
    <t>10-K Report 2014</t>
  </si>
  <si>
    <t>10-K Report 2015</t>
  </si>
  <si>
    <t>10-K Report 2016</t>
  </si>
  <si>
    <t>10-K Report 2017</t>
  </si>
  <si>
    <t>10-K Report 2018</t>
  </si>
  <si>
    <t>10-K Report 2019</t>
  </si>
  <si>
    <t>10-K Report 2020</t>
  </si>
  <si>
    <t>10-K Report 2021</t>
  </si>
  <si>
    <t>10-K Report 2022</t>
  </si>
  <si>
    <t>10-Q Report 2023 Q1</t>
  </si>
  <si>
    <t>10-Q Report 2023 Q2</t>
  </si>
  <si>
    <t>10-Q Report 2023 Q3</t>
  </si>
  <si>
    <t>ORGANIC YOY GROWTH</t>
  </si>
  <si>
    <t>3 months Q1</t>
  </si>
  <si>
    <t>3 Months Q2</t>
  </si>
  <si>
    <t>3 Months Q4</t>
  </si>
  <si>
    <t>Dec 31 2023</t>
  </si>
  <si>
    <t>FY-23A</t>
  </si>
  <si>
    <t>3 Months Q3</t>
  </si>
  <si>
    <t>Q4 2023 Earnings Presentation</t>
  </si>
  <si>
    <t>Historical Average</t>
  </si>
  <si>
    <t>12 MONTHS</t>
  </si>
  <si>
    <t>FY-19 A</t>
  </si>
  <si>
    <t>FY-20 A</t>
  </si>
  <si>
    <t>FY-21 A</t>
  </si>
  <si>
    <t>FY-22 A</t>
  </si>
  <si>
    <t>FY-23 A</t>
  </si>
  <si>
    <t>FY-24 E</t>
  </si>
  <si>
    <t>FY-25 E</t>
  </si>
  <si>
    <t>FY-26 E</t>
  </si>
  <si>
    <t>FY-27 E</t>
  </si>
  <si>
    <t>FY-28 E</t>
  </si>
  <si>
    <t>Impact of Special Items</t>
  </si>
  <si>
    <t>Reference</t>
  </si>
  <si>
    <t>Revenue :</t>
  </si>
  <si>
    <t>Products Sales</t>
  </si>
  <si>
    <t>Other Income</t>
  </si>
  <si>
    <t>Operating Expenses:</t>
  </si>
  <si>
    <t>Adjustments</t>
  </si>
  <si>
    <t>Total Operating Expenses - Reported</t>
  </si>
  <si>
    <t>Total Impact of Special Items</t>
  </si>
  <si>
    <t>Total Operating Expenses - Normalised</t>
  </si>
  <si>
    <t xml:space="preserve">Operating Income - Reported </t>
  </si>
  <si>
    <t>Operating income- Normalised</t>
  </si>
  <si>
    <t>Interest and Other Income - Reported</t>
  </si>
  <si>
    <t>Interest and Other Income - Normalised</t>
  </si>
  <si>
    <t>Income before Tax - Reported</t>
  </si>
  <si>
    <t>Income before Tax - Normalised</t>
  </si>
  <si>
    <t>Provision for Income Tax - Reported</t>
  </si>
  <si>
    <t>Provision for Income Tax - Normalised</t>
  </si>
  <si>
    <t>Net Income - Reported</t>
  </si>
  <si>
    <t>Net Income  - Normalised</t>
  </si>
  <si>
    <t>Total Net Income - Normalised</t>
  </si>
  <si>
    <t>Cost of Sales - Reported</t>
  </si>
  <si>
    <t>Cost of Sales - Normalised</t>
  </si>
  <si>
    <t>Research and Development - Reported</t>
  </si>
  <si>
    <t>Research and Development - Normalised</t>
  </si>
  <si>
    <t>Selling, General and Administrative Expenses - Reported</t>
  </si>
  <si>
    <t>Selling, General and Administrative Expenses - Normalised</t>
  </si>
  <si>
    <t>Other Expenses - Reported</t>
  </si>
  <si>
    <t>Other Expenses - Normalised</t>
  </si>
  <si>
    <t>Gross Profit</t>
  </si>
  <si>
    <t>(EBIT)</t>
  </si>
  <si>
    <t>Gross profit margin</t>
  </si>
  <si>
    <t>Operating Profit Margin</t>
  </si>
  <si>
    <t>(OPM)</t>
  </si>
  <si>
    <t>(GPM)</t>
  </si>
  <si>
    <t>Net profit Margin</t>
  </si>
  <si>
    <t>Weighted Average Number of Shares :</t>
  </si>
  <si>
    <t>Basic</t>
  </si>
  <si>
    <t>Earnings Per Share :</t>
  </si>
  <si>
    <t>Non GAAP - Diluted</t>
  </si>
  <si>
    <t>Other Income as a Percentage of Revenue</t>
  </si>
  <si>
    <t>Cost of Sales as a Percentage of Revenue</t>
  </si>
  <si>
    <t>SG&amp;A Expenses as a Percentage of Revenue</t>
  </si>
  <si>
    <t>R&amp;D Expenses as a Percentage of Revenue</t>
  </si>
  <si>
    <t>Other Expenses as a Percentage of Revenue</t>
  </si>
  <si>
    <t>Total Operating Expenses as a Percentage of Revenue</t>
  </si>
  <si>
    <t>Interest and Other Income as a Percentage of Revenue</t>
  </si>
  <si>
    <t>Tax Percentage</t>
  </si>
  <si>
    <t>Tax as a Percentage of Revenue</t>
  </si>
  <si>
    <t>Historical Average For Forecast</t>
  </si>
  <si>
    <t>Interest Expense</t>
  </si>
  <si>
    <t>Acquired In-Process Research and Development - Reported</t>
  </si>
  <si>
    <t>Acquired In-Process Research and Development - Normalised</t>
  </si>
  <si>
    <t>Interest Expense - Normalised</t>
  </si>
  <si>
    <t>AMGEN Reported 548Mn i,e 2% of revenue as negative foreign exchange rates In 2022 and reported 1%  of Negative Forex in 2023 that would amount to about 282Mn</t>
  </si>
  <si>
    <t>Recon-19</t>
  </si>
  <si>
    <t>Recon-20</t>
  </si>
  <si>
    <t>Recon-21</t>
  </si>
  <si>
    <t>Recon-22</t>
  </si>
  <si>
    <t>Recon-23</t>
  </si>
  <si>
    <t>Income Before Tax as a Percentage of Revenue</t>
  </si>
  <si>
    <t xml:space="preserve"> Average organic Revenue Growth</t>
  </si>
  <si>
    <t>Dividend Paid per share</t>
  </si>
  <si>
    <t>Interest Cover Ratio</t>
  </si>
  <si>
    <t>Dividend Payout Ratio</t>
  </si>
  <si>
    <t>Balance Sheet as of :</t>
  </si>
  <si>
    <t>Assets</t>
  </si>
  <si>
    <t xml:space="preserve"> Cash, Cash Equivalents and Marketable Securities</t>
  </si>
  <si>
    <t xml:space="preserve">  Trade Receivables, Net</t>
  </si>
  <si>
    <t xml:space="preserve">  Inventories</t>
  </si>
  <si>
    <t xml:space="preserve">  Other Current Assets</t>
  </si>
  <si>
    <t>Total Current Assets</t>
  </si>
  <si>
    <t xml:space="preserve">  Property, Plant and Equipment, Net</t>
  </si>
  <si>
    <t xml:space="preserve">  Goodwill</t>
  </si>
  <si>
    <t xml:space="preserve">  Intangible Assets, Net</t>
  </si>
  <si>
    <t>Total Assets</t>
  </si>
  <si>
    <t>Current Liabilities:</t>
  </si>
  <si>
    <t xml:space="preserve">  Current portion of long-term Debt</t>
  </si>
  <si>
    <t>Total Current Liabilities</t>
  </si>
  <si>
    <t>Non-Current Liabilities:</t>
  </si>
  <si>
    <t>Non-Current Assets:</t>
  </si>
  <si>
    <t>Current Assets:</t>
  </si>
  <si>
    <t xml:space="preserve">  Long-Term Debt</t>
  </si>
  <si>
    <t xml:space="preserve">  Long-Term tax liabilities</t>
  </si>
  <si>
    <t xml:space="preserve">  Other non-current Liabilities</t>
  </si>
  <si>
    <t>Total Non-Current Liabilities</t>
  </si>
  <si>
    <t>Total Stockholder's Equity</t>
  </si>
  <si>
    <t>Total Liabilities and Stockholder's Equity</t>
  </si>
  <si>
    <t>Liabilities and Stockholder's Equity</t>
  </si>
  <si>
    <t>Checksum</t>
  </si>
  <si>
    <t xml:space="preserve">  Long Term Deferred Tax Liability</t>
  </si>
  <si>
    <t>Stockholder's Equity:</t>
  </si>
  <si>
    <t xml:space="preserve">  Common Stock and additional paid-in-capital; $0.0001 par value per share; 2,750.0 shares authorized</t>
  </si>
  <si>
    <t xml:space="preserve">  Accumulated deficit</t>
  </si>
  <si>
    <t xml:space="preserve">  Accumulated other comprehensive loss</t>
  </si>
  <si>
    <t xml:space="preserve">  Marketable Securities</t>
  </si>
  <si>
    <t xml:space="preserve">  Account payable</t>
  </si>
  <si>
    <t>Total Product Growth by Historical Average</t>
  </si>
  <si>
    <t>Working Capital</t>
  </si>
  <si>
    <t>Operating Current Assets</t>
  </si>
  <si>
    <t>Trade accounts receivable</t>
  </si>
  <si>
    <t>Receivable Days</t>
  </si>
  <si>
    <t>Inventories</t>
  </si>
  <si>
    <t>Inventory Days</t>
  </si>
  <si>
    <t>Prepaid expenses and other current assets</t>
  </si>
  <si>
    <t>%age of Sales</t>
  </si>
  <si>
    <t>Operating Current Liabilities</t>
  </si>
  <si>
    <t>Payable Turnover Ratio</t>
  </si>
  <si>
    <t>PPE Turnover Ratio</t>
  </si>
  <si>
    <t>Property, Plant &amp; Equipment</t>
  </si>
  <si>
    <t>Opening Balance - WDV</t>
  </si>
  <si>
    <t>Add : Net Additions during the Year</t>
  </si>
  <si>
    <t>Closing Balance - WDV</t>
  </si>
  <si>
    <t>Cash Conversion Cycle</t>
  </si>
  <si>
    <t>Amortizable Intangible Assets</t>
  </si>
  <si>
    <t>Indefinitie Lived Intangible Assets</t>
  </si>
  <si>
    <t>Net Income</t>
  </si>
  <si>
    <t>Other</t>
  </si>
  <si>
    <t>Cash From Operating Activities</t>
  </si>
  <si>
    <t>Depreciation and amortization</t>
  </si>
  <si>
    <t>Change in assets and liabilities:</t>
  </si>
  <si>
    <t>Accounts payable and accrued expenses</t>
  </si>
  <si>
    <t>Net Cash Provided by Operating Activities</t>
  </si>
  <si>
    <t>Cash From Investing Activities</t>
  </si>
  <si>
    <t>Capital Expenditure</t>
  </si>
  <si>
    <t>Net Cash Used for Investing Activities</t>
  </si>
  <si>
    <t>Cash From Financing Activities</t>
  </si>
  <si>
    <t>Cash dividends paid</t>
  </si>
  <si>
    <t>Cash before Raising (Repayment) of Debt</t>
  </si>
  <si>
    <t>Debt Raised</t>
  </si>
  <si>
    <t>Debt Repaid</t>
  </si>
  <si>
    <t>Net Cash Provided by/(Used for) Financing Activities</t>
  </si>
  <si>
    <t>Net Increase/(Decrease) in Cash and Cash Equivalents</t>
  </si>
  <si>
    <t xml:space="preserve">Cash and Cash Equivalents, Beginning of Year </t>
  </si>
  <si>
    <t>Cash and Cash Equivalents, End of Period</t>
  </si>
  <si>
    <t>Cost of Sales (Less Amortizaton)</t>
  </si>
  <si>
    <t>Amortization</t>
  </si>
  <si>
    <t>Selling, General and Administrative Expenses (Less Deprecaition and Other)</t>
  </si>
  <si>
    <t>Depreciation</t>
  </si>
  <si>
    <t>Sales growth (%)-Normalised</t>
  </si>
  <si>
    <t>EBITDA margins (%)-Normalised</t>
  </si>
  <si>
    <t>EBIT margins (%)-Normalised</t>
  </si>
  <si>
    <t>Net Income margins (%)-Normalised</t>
  </si>
  <si>
    <t>Profitability ratios</t>
  </si>
  <si>
    <t>Gross profit margin (%)-Normalised</t>
  </si>
  <si>
    <t>Return on Equity</t>
  </si>
  <si>
    <t>Return on assets</t>
  </si>
  <si>
    <t>Cost of sales (less Amortization as a percentage of revenue)</t>
  </si>
  <si>
    <t>Amortization as a Percentage of Revenue</t>
  </si>
  <si>
    <t>SG&amp;A Expenses (less Depreciation and other as a Percentage of Revenue)</t>
  </si>
  <si>
    <t>Deprecaition as a Percentage of Revenue</t>
  </si>
  <si>
    <t>Other as a Percentage as Revenue</t>
  </si>
  <si>
    <t>Stock Based Compensation</t>
  </si>
  <si>
    <t>Stock Based Compensation as a Percentage of SG&amp;A</t>
  </si>
  <si>
    <t>Opening Debt</t>
  </si>
  <si>
    <t>Cash Before Debt (During the period)</t>
  </si>
  <si>
    <t>Add: Opening Cash Balance</t>
  </si>
  <si>
    <t>Cash Available for Debt repayments</t>
  </si>
  <si>
    <t>Less: Mandatory Debt Repayments</t>
  </si>
  <si>
    <t>Cash balance after mandatory debt repayment</t>
  </si>
  <si>
    <t>Add: debt raised</t>
  </si>
  <si>
    <t>Closing Cash Balance (Total Debt)</t>
  </si>
  <si>
    <t>Current portion of long term debt</t>
  </si>
  <si>
    <t>Long term debt</t>
  </si>
  <si>
    <t xml:space="preserve">Cost of Debt </t>
  </si>
  <si>
    <t>(Interest Exp/Total Debt)</t>
  </si>
  <si>
    <t>Interest</t>
  </si>
  <si>
    <t xml:space="preserve">  Accrued Liabilities</t>
  </si>
  <si>
    <t>Accounts payable and Accrued Expense</t>
  </si>
  <si>
    <t>Debt</t>
  </si>
  <si>
    <t>ROI</t>
  </si>
  <si>
    <t>Weights</t>
  </si>
  <si>
    <t>Total Debt</t>
  </si>
  <si>
    <t>Weighted Average Cost of Debt</t>
  </si>
  <si>
    <t>Stock- Based Compensations</t>
  </si>
  <si>
    <t>Total Liabilities</t>
  </si>
  <si>
    <t>BETA CALCULATION</t>
  </si>
  <si>
    <t>Name (Competitor)</t>
  </si>
  <si>
    <t>Beta</t>
  </si>
  <si>
    <t>Target Company</t>
  </si>
  <si>
    <t>Date</t>
  </si>
  <si>
    <t>Adj Close</t>
  </si>
  <si>
    <t>% Change</t>
  </si>
  <si>
    <t>Slope Beta</t>
  </si>
  <si>
    <t>AbbVie Inc.</t>
  </si>
  <si>
    <t>J&amp;J</t>
  </si>
  <si>
    <t>Pfizer Inc.</t>
  </si>
  <si>
    <t>S&amp;P 500</t>
  </si>
  <si>
    <t>Amgen</t>
  </si>
  <si>
    <t>(7 Year Weekly Beta)</t>
  </si>
  <si>
    <t>Amgen Inc</t>
  </si>
  <si>
    <t>Current Year Amortization</t>
  </si>
  <si>
    <t>Accumulated Amortization</t>
  </si>
  <si>
    <t>Depreciation for the Year</t>
  </si>
  <si>
    <t>Accumulated Depreciation</t>
  </si>
  <si>
    <t>Depreciation during the year</t>
  </si>
  <si>
    <t>(CFS)</t>
  </si>
  <si>
    <t>(FA Schedule)</t>
  </si>
  <si>
    <t>(Debt Schedule)</t>
  </si>
  <si>
    <t>Total Non-Current Assets</t>
  </si>
  <si>
    <t>Regeneron Pharma</t>
  </si>
  <si>
    <t>BMY</t>
  </si>
  <si>
    <t>EBIT</t>
  </si>
  <si>
    <t>NOPAT</t>
  </si>
  <si>
    <t>Less: Capex</t>
  </si>
  <si>
    <t>FCFF</t>
  </si>
  <si>
    <t xml:space="preserve">Cost of debt </t>
  </si>
  <si>
    <t>Weighted average cost of capital</t>
  </si>
  <si>
    <t xml:space="preserve">Cost of equity </t>
  </si>
  <si>
    <t>Particulars</t>
  </si>
  <si>
    <t>Notes</t>
  </si>
  <si>
    <t>Value</t>
  </si>
  <si>
    <t>Weight</t>
  </si>
  <si>
    <t>Cost</t>
  </si>
  <si>
    <t>Debt borrowing rate (%)</t>
  </si>
  <si>
    <t>Ratings Based</t>
  </si>
  <si>
    <t>Debt (%)</t>
  </si>
  <si>
    <t>Cost of debt (%)</t>
  </si>
  <si>
    <t xml:space="preserve">Risk-free rate (%) </t>
  </si>
  <si>
    <t>10-year treasury rate</t>
  </si>
  <si>
    <t>Expected income tax rate (%)</t>
  </si>
  <si>
    <t>Equity (%)</t>
  </si>
  <si>
    <t>Cost of equity (%)</t>
  </si>
  <si>
    <t>After-tax cost of debt (%)</t>
  </si>
  <si>
    <t>WACC</t>
  </si>
  <si>
    <t xml:space="preserve">Equity market risk premium (%) </t>
  </si>
  <si>
    <t>Damodaram ERP</t>
  </si>
  <si>
    <t>Cost of equity capital (%)</t>
  </si>
  <si>
    <t>Calculation of beta</t>
  </si>
  <si>
    <t>D/(D+E) 
(last three years)</t>
  </si>
  <si>
    <t>E/(D+E) 
(last three years)</t>
  </si>
  <si>
    <t>Tax rate (%)</t>
  </si>
  <si>
    <t>Bottom-up</t>
  </si>
  <si>
    <t>Industry Average</t>
  </si>
  <si>
    <t>Beta Calculation for Target Co</t>
  </si>
  <si>
    <t>Calculation of Capital Structure of Peer Group Companies</t>
  </si>
  <si>
    <t>Equity</t>
  </si>
  <si>
    <t>Share Price</t>
  </si>
  <si>
    <t>Shares O/S</t>
  </si>
  <si>
    <t>M.Cap</t>
  </si>
  <si>
    <t>Tax Rate</t>
  </si>
  <si>
    <t>WACC Calculation</t>
  </si>
  <si>
    <t>Deletions and others</t>
  </si>
  <si>
    <t>PPE Gross</t>
  </si>
  <si>
    <t>Net PPE</t>
  </si>
  <si>
    <t>Capex as a % of PPE</t>
  </si>
  <si>
    <t>Net intangibles</t>
  </si>
  <si>
    <t>Gross finite lived intangibles</t>
  </si>
  <si>
    <t>EBITDA</t>
  </si>
  <si>
    <t>EBITDA Margin</t>
  </si>
  <si>
    <t>Debt Schedule</t>
  </si>
  <si>
    <t>Bottoms Up Beta</t>
  </si>
  <si>
    <t>Regression Beta</t>
  </si>
  <si>
    <t>AMGEN Inc.</t>
  </si>
  <si>
    <t>DCF VALUATION</t>
  </si>
  <si>
    <t>Valuation Date</t>
  </si>
  <si>
    <t>Latest Filing</t>
  </si>
  <si>
    <t>Choose Discounting</t>
  </si>
  <si>
    <t>Discount rate (%)</t>
  </si>
  <si>
    <t>Full Period or Partial Period</t>
  </si>
  <si>
    <t>Present Value Factor - Year End Discounting</t>
  </si>
  <si>
    <t>Present Value Factor - Mid Year Discounting</t>
  </si>
  <si>
    <t>Discounting Period - Year End</t>
  </si>
  <si>
    <t>Discounting Period - Mid Year</t>
  </si>
  <si>
    <t>Present Value Debt Free Cash Flow</t>
  </si>
  <si>
    <t>Present Value for Explicit Period</t>
  </si>
  <si>
    <t>Terminal Value</t>
  </si>
  <si>
    <t>Long Term Growth Rate</t>
  </si>
  <si>
    <t>Present Value of TV</t>
  </si>
  <si>
    <t>DCF Value of Firm / Operating Business Enterprise Value</t>
  </si>
  <si>
    <t>Total Value of Firm</t>
  </si>
  <si>
    <t>Less: Gross Debt &amp; Debt Equivalents</t>
  </si>
  <si>
    <t>Add: Cash</t>
  </si>
  <si>
    <t>Less: Non Controlling Interest</t>
  </si>
  <si>
    <t>DCF Value of Common Equity</t>
  </si>
  <si>
    <t>DCF Value per Share</t>
  </si>
  <si>
    <t>LTM EV/EBITDA</t>
  </si>
  <si>
    <t>Terminal Year EBITDA</t>
  </si>
  <si>
    <t>Less: Non-Controlling Interest</t>
  </si>
  <si>
    <t>Mid Year Discounting</t>
  </si>
  <si>
    <t>Year End Discounting</t>
  </si>
  <si>
    <t>Gordon's Growth</t>
  </si>
  <si>
    <t>Add: Depreciation &amp; Amortization</t>
  </si>
  <si>
    <t>TAX RATE</t>
  </si>
  <si>
    <t>No. of Shares O/S - Diluted</t>
  </si>
  <si>
    <t>CMP</t>
  </si>
  <si>
    <t>Upside</t>
  </si>
  <si>
    <t>LTGR</t>
  </si>
  <si>
    <t>Exit Multiple</t>
  </si>
  <si>
    <t>Unlevered Beta</t>
  </si>
  <si>
    <t>Relevered Beta</t>
  </si>
  <si>
    <t>Levered Beta</t>
  </si>
  <si>
    <t>(In USD Millions, Except Per-Share Data)</t>
  </si>
  <si>
    <t xml:space="preserve">  Other Non Current  Assets</t>
  </si>
  <si>
    <t>Operating Cashflow Ratio</t>
  </si>
  <si>
    <t>Current Portion of Short-Term Debt as a % of Long-term debt</t>
  </si>
  <si>
    <t>Current Portion of Short-Term Debt for 2028</t>
  </si>
  <si>
    <t>Ratios</t>
  </si>
  <si>
    <t>Quick Ratio</t>
  </si>
  <si>
    <t>Current Ratio</t>
  </si>
  <si>
    <t>Debt-Equity Ratio</t>
  </si>
  <si>
    <t>Change in Working Capital</t>
  </si>
  <si>
    <t>Change in Working Capital (%)</t>
  </si>
  <si>
    <t>Return on Research Capital Ratio</t>
  </si>
  <si>
    <t>Debt to Capital Ratio</t>
  </si>
  <si>
    <t>Taregt Price</t>
  </si>
  <si>
    <t>Can not take average of 3 years because current debt is higher than previous years. The current cost of debt is based on the current capital structure.</t>
  </si>
  <si>
    <t>Add: Other investments</t>
  </si>
  <si>
    <t>Add/Less WC</t>
  </si>
  <si>
    <t>Average</t>
  </si>
  <si>
    <t>P/E Ratio</t>
  </si>
  <si>
    <t>Add: Other Investments</t>
  </si>
  <si>
    <t>Total Net Revenue - Normalised</t>
  </si>
  <si>
    <t>Total  Net Revenue - Reported</t>
  </si>
  <si>
    <t>EPS</t>
  </si>
  <si>
    <t>Revised Net Profit</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</si>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</sst>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1" formatCode="_ * #,##0_ ;_ * \-#,##0_ ;_ * &quot;-&quot;_ ;_ @_ "/>
    <numFmt numFmtId="43" formatCode="_ * #,##0.00_ ;_ * \-#,##0.00_ ;_ * &quot;-&quot;??_ ;_ @_ "/>
    <numFmt numFmtId="164" formatCode="#,##0_ ;[Red]\-#,##0\ "/>
    <numFmt numFmtId="165" formatCode="0.0%"/>
    <numFmt numFmtId="166" formatCode="0.00_ ;[Red]\-0.00\ "/>
    <numFmt numFmtId="167" formatCode="#,##0_);\(#,##0\)"/>
    <numFmt numFmtId="168" formatCode="0\ &quot;Days&quot;"/>
    <numFmt numFmtId="169" formatCode="0.00\x"/>
    <numFmt numFmtId="170" formatCode="#,##0_ ;\-#,##0\ "/>
    <numFmt numFmtId="171" formatCode="0.000%"/>
    <numFmt numFmtId="172" formatCode="0.0000"/>
    <numFmt numFmtId="173" formatCode="#,##0;\(#,##0\);&quot;-&quot;"/>
    <numFmt numFmtId="174" formatCode="[$-409]d\-mmm\-yyyy"/>
    <numFmt numFmtId="175" formatCode="\ #,##0.0_);\(#,##0.0\);&quot; - &quot;_);@_)"/>
    <numFmt numFmtId="176" formatCode="_(* #,##0_);_(* \(#,##0\);_(* &quot;-&quot;??_);_(@_)"/>
    <numFmt numFmtId="177" formatCode="_(* #,##0.00_);_(* \(#,##0.00\);_(* &quot;-&quot;??_);_(@_)"/>
    <numFmt numFmtId="178" formatCode="[$-14009]dd\ mmmm\ yyyy"/>
    <numFmt numFmtId="179" formatCode="0.0"/>
    <numFmt numFmtId="180" formatCode="#,##0.00_ ;[Red]\-#,##0.00\ "/>
    <numFmt numFmtId="181" formatCode="#,##0.0;\(#,##0.0\);&quot;-&quot;"/>
    <numFmt numFmtId="182" formatCode="#,##0.00;\(#,##0.00\);&quot;-&quot;"/>
    <numFmt numFmtId="183" formatCode="#,##0.00_);\(#,##0.00\)"/>
    <numFmt numFmtId="184" formatCode="#,##0.000_);\(#,##0.000\)"/>
    <numFmt numFmtId="185" formatCode="0.0\x"/>
  </numFmts>
  <fonts count="74"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b/>
      <sz val="11"/>
      <color theme="0"/>
      <name val="Calibri"/>
      <family val="2"/>
      <scheme val="minor"/>
    </font>
    <font>
      <sz val="11"/>
      <color theme="0"/>
      <name val="Calibri"/>
      <family val="2"/>
      <scheme val="minor"/>
    </font>
    <font>
      <sz val="8"/>
      <name val="Calibri"/>
      <family val="2"/>
      <scheme val="minor"/>
    </font>
    <font>
      <i/>
      <sz val="9"/>
      <color theme="1"/>
      <name val="Calibri"/>
      <family val="2"/>
      <scheme val="minor"/>
    </font>
    <font>
      <i/>
      <sz val="8"/>
      <color theme="1"/>
      <name val="Calibri"/>
      <family val="2"/>
      <scheme val="minor"/>
    </font>
    <font>
      <b/>
      <sz val="12"/>
      <color theme="0"/>
      <name val="Calibri"/>
      <family val="2"/>
      <scheme val="minor"/>
    </font>
    <font>
      <sz val="11"/>
      <color theme="1"/>
      <name val="Calibri"/>
      <family val="2"/>
      <scheme val="minor"/>
    </font>
    <font>
      <sz val="11"/>
      <color rgb="FFFF0000"/>
      <name val="Calibri"/>
      <family val="2"/>
      <scheme val="minor"/>
    </font>
    <font>
      <u/>
      <sz val="11"/>
      <color theme="10"/>
      <name val="Calibri"/>
      <family val="2"/>
      <scheme val="minor"/>
    </font>
    <font>
      <i/>
      <sz val="10"/>
      <color theme="1"/>
      <name val="Calibri"/>
      <family val="2"/>
      <scheme val="minor"/>
    </font>
    <font>
      <i/>
      <sz val="9"/>
      <color rgb="FFC00000"/>
      <name val="Calibri"/>
      <family val="2"/>
      <scheme val="minor"/>
    </font>
    <font>
      <sz val="11"/>
      <color rgb="FFC00000"/>
      <name val="Calibri"/>
      <family val="2"/>
      <scheme val="minor"/>
    </font>
    <font>
      <i/>
      <sz val="11"/>
      <color rgb="FFC00000"/>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b/>
      <i/>
      <sz val="11"/>
      <color theme="1"/>
      <name val="Calibri"/>
      <family val="2"/>
      <scheme val="minor"/>
    </font>
    <font>
      <b/>
      <i/>
      <sz val="11"/>
      <color rgb="FF002060"/>
      <name val="Calibri"/>
      <family val="2"/>
      <scheme val="minor"/>
    </font>
    <font>
      <b/>
      <sz val="11"/>
      <color rgb="FF002060"/>
      <name val="Calibri"/>
      <family val="2"/>
      <scheme val="minor"/>
    </font>
    <font>
      <i/>
      <sz val="11"/>
      <color rgb="FFFF0000"/>
      <name val="Calibri"/>
      <family val="2"/>
      <scheme val="minor"/>
    </font>
    <font>
      <i/>
      <sz val="11"/>
      <color rgb="FF7030A0"/>
      <name val="Calibri"/>
      <family val="2"/>
      <scheme val="minor"/>
    </font>
    <font>
      <b/>
      <i/>
      <sz val="11"/>
      <color rgb="FFFF0000"/>
      <name val="Calibri"/>
      <family val="2"/>
      <scheme val="minor"/>
    </font>
    <font>
      <b/>
      <sz val="14"/>
      <color theme="0"/>
      <name val="Calibri"/>
      <family val="2"/>
      <scheme val="minor"/>
    </font>
    <font>
      <b/>
      <sz val="12"/>
      <color theme="1"/>
      <name val="Calibri"/>
      <family val="2"/>
      <scheme val="minor"/>
    </font>
    <font>
      <b/>
      <sz val="14"/>
      <color rgb="FFFF0000"/>
      <name val="Calibri"/>
      <family val="2"/>
      <scheme val="minor"/>
    </font>
    <font>
      <sz val="9"/>
      <color theme="0"/>
      <name val="Calibri"/>
      <family val="2"/>
      <scheme val="minor"/>
    </font>
    <font>
      <b/>
      <i/>
      <sz val="11"/>
      <color theme="0"/>
      <name val="Calibri"/>
      <family val="2"/>
      <scheme val="minor"/>
    </font>
    <font>
      <b/>
      <sz val="13"/>
      <color theme="1"/>
      <name val="Calibri"/>
      <family val="2"/>
      <scheme val="minor"/>
    </font>
    <font>
      <sz val="12"/>
      <color theme="1"/>
      <name val="Calibri"/>
      <family val="2"/>
      <scheme val="minor"/>
    </font>
    <font>
      <i/>
      <sz val="12"/>
      <color theme="1"/>
      <name val="Calibri"/>
      <family val="2"/>
      <scheme val="minor"/>
    </font>
    <font>
      <b/>
      <i/>
      <sz val="12"/>
      <color theme="1"/>
      <name val="Calibri"/>
      <family val="2"/>
      <scheme val="minor"/>
    </font>
    <font>
      <b/>
      <sz val="11"/>
      <color theme="8" tint="-0.249977111117893"/>
      <name val="Calibri"/>
      <family val="2"/>
      <scheme val="minor"/>
    </font>
    <font>
      <b/>
      <i/>
      <sz val="11"/>
      <color rgb="FF2AB10F"/>
      <name val="Calibri"/>
      <family val="2"/>
      <scheme val="minor"/>
    </font>
    <font>
      <i/>
      <sz val="11"/>
      <color theme="1" tint="4.9989318521683403E-2"/>
      <name val="Calibri"/>
      <family val="2"/>
      <scheme val="minor"/>
    </font>
    <font>
      <i/>
      <sz val="11"/>
      <color rgb="FF7F7F7F"/>
      <name val="Calibri"/>
      <family val="2"/>
      <scheme val="minor"/>
    </font>
    <font>
      <i/>
      <sz val="12"/>
      <color theme="1" tint="0.34998626667073579"/>
      <name val="Calibri"/>
      <family val="2"/>
      <scheme val="minor"/>
    </font>
    <font>
      <u/>
      <sz val="11"/>
      <color rgb="FF7030A0"/>
      <name val="Calibri"/>
      <family val="2"/>
      <scheme val="minor"/>
    </font>
    <font>
      <sz val="11"/>
      <color rgb="FF7030A0"/>
      <name val="Calibri"/>
      <family val="2"/>
      <scheme val="minor"/>
    </font>
    <font>
      <b/>
      <sz val="11"/>
      <color rgb="FFFF0000"/>
      <name val="Calibri"/>
      <family val="2"/>
      <scheme val="minor"/>
    </font>
    <font>
      <sz val="10"/>
      <color theme="1"/>
      <name val="Calibri"/>
      <family val="2"/>
      <scheme val="minor"/>
    </font>
    <font>
      <b/>
      <sz val="11"/>
      <color theme="1"/>
      <name val="Calibri"/>
      <family val="2"/>
    </font>
    <font>
      <sz val="11"/>
      <name val="Calibri"/>
      <family val="2"/>
    </font>
    <font>
      <i/>
      <sz val="11"/>
      <color theme="1"/>
      <name val="Calibri"/>
      <family val="2"/>
    </font>
    <font>
      <sz val="11"/>
      <color theme="1"/>
      <name val="Calibri"/>
      <family val="2"/>
    </font>
    <font>
      <sz val="10"/>
      <color theme="1"/>
      <name val="Calibri"/>
      <family val="2"/>
    </font>
    <font>
      <b/>
      <sz val="10"/>
      <color theme="1"/>
      <name val="Calibri"/>
      <family val="2"/>
    </font>
    <font>
      <b/>
      <sz val="10"/>
      <color indexed="25"/>
      <name val="Arial Narrow"/>
      <family val="2"/>
    </font>
    <font>
      <sz val="10"/>
      <color indexed="25"/>
      <name val="Arial Narrow"/>
      <family val="2"/>
    </font>
    <font>
      <sz val="10"/>
      <name val="Arial Narrow"/>
      <family val="2"/>
    </font>
    <font>
      <sz val="11"/>
      <color rgb="FF232A31"/>
      <name val="Calibri"/>
      <family val="2"/>
      <scheme val="minor"/>
    </font>
    <font>
      <i/>
      <sz val="11"/>
      <color theme="1" tint="0.499984740745262"/>
      <name val="Calibri"/>
      <family val="2"/>
      <scheme val="minor"/>
    </font>
    <font>
      <b/>
      <sz val="16"/>
      <color theme="1"/>
      <name val="Calibri"/>
      <family val="2"/>
      <scheme val="minor"/>
    </font>
    <font>
      <b/>
      <sz val="24"/>
      <color theme="1"/>
      <name val="Calibri"/>
      <family val="2"/>
      <scheme val="minor"/>
    </font>
    <font>
      <sz val="9"/>
      <color theme="1"/>
      <name val="Calibri"/>
      <family val="2"/>
      <scheme val="minor"/>
    </font>
    <font>
      <u/>
      <sz val="11"/>
      <color theme="1"/>
      <name val="Calibri"/>
      <family val="2"/>
      <scheme val="minor"/>
    </font>
    <font>
      <sz val="12"/>
      <color theme="1"/>
      <name val="Calibri"/>
      <family val="2"/>
    </font>
    <font>
      <b/>
      <sz val="12"/>
      <color theme="1"/>
      <name val="Calibri"/>
      <family val="2"/>
    </font>
    <font>
      <i/>
      <sz val="12"/>
      <color theme="1"/>
      <name val="Calibri"/>
      <family val="2"/>
    </font>
    <font>
      <b/>
      <u/>
      <sz val="12"/>
      <color theme="1"/>
      <name val="Calibri"/>
      <family val="2"/>
    </font>
    <font>
      <i/>
      <sz val="11"/>
      <color theme="2" tint="-0.249977111117893"/>
      <name val="Calibri"/>
      <family val="2"/>
      <scheme val="minor"/>
    </font>
    <font>
      <b/>
      <sz val="13"/>
      <color theme="1"/>
      <name val="Calibri"/>
      <family val="2"/>
    </font>
    <font>
      <b/>
      <sz val="14"/>
      <color theme="1"/>
      <name val="Calibri"/>
      <family val="2"/>
    </font>
    <font>
      <b/>
      <i/>
      <sz val="13"/>
      <color theme="1"/>
      <name val="Calibri"/>
      <family val="2"/>
    </font>
    <font>
      <i/>
      <sz val="11"/>
      <color theme="0" tint="-0.249977111117893"/>
      <name val="Calibri"/>
      <family val="2"/>
      <scheme val="minor"/>
    </font>
    <font>
      <sz val="14"/>
      <color rgb="FFFF0000"/>
      <name val="Calibri"/>
      <family val="2"/>
      <scheme val="minor"/>
    </font>
    <font>
      <b/>
      <i/>
      <sz val="11"/>
      <name val="Calibri"/>
      <family val="2"/>
      <scheme val="minor"/>
    </font>
    <font>
      <b/>
      <i/>
      <sz val="14"/>
      <color theme="1"/>
      <name val="Calibri"/>
      <family val="2"/>
      <scheme val="minor"/>
    </font>
    <font>
      <sz val="9"/>
      <color indexed="81"/>
      <name val="Tahoma"/>
    </font>
    <font>
      <b/>
      <sz val="9"/>
      <color indexed="81"/>
      <name val="Tahoma"/>
    </font>
  </fonts>
  <fills count="17">
    <fill>
      <patternFill patternType="none"/>
    </fill>
    <fill>
      <patternFill patternType="gray125"/>
    </fill>
    <fill>
      <patternFill patternType="solid">
        <fgColor theme="4" tint="0.59999389629810485"/>
        <bgColor indexed="64"/>
      </patternFill>
    </fill>
    <fill>
      <patternFill patternType="solid">
        <fgColor rgb="FF92D050"/>
        <bgColor indexed="64"/>
      </patternFill>
    </fill>
    <fill>
      <patternFill patternType="solid">
        <fgColor theme="4" tint="0.39997558519241921"/>
        <bgColor indexed="64"/>
      </patternFill>
    </fill>
    <fill>
      <patternFill patternType="solid">
        <fgColor theme="1"/>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3" tint="0.79998168889431442"/>
        <bgColor rgb="FF002060"/>
      </patternFill>
    </fill>
    <fill>
      <patternFill patternType="solid">
        <fgColor rgb="FFFFC000"/>
        <bgColor indexed="64"/>
      </patternFill>
    </fill>
    <fill>
      <patternFill patternType="solid">
        <fgColor theme="4" tint="0.39997558519241921"/>
        <bgColor rgb="FF002060"/>
      </patternFill>
    </fill>
    <fill>
      <patternFill patternType="solid">
        <fgColor rgb="FFC00000"/>
        <bgColor indexed="64"/>
      </patternFill>
    </fill>
    <fill>
      <patternFill patternType="solid">
        <fgColor theme="8" tint="0.39997558519241921"/>
        <bgColor indexed="64"/>
      </patternFill>
    </fill>
    <fill>
      <patternFill patternType="solid">
        <fgColor theme="1" tint="0.499984740745262"/>
        <bgColor indexed="64"/>
      </patternFill>
    </fill>
    <fill>
      <patternFill patternType="solid">
        <fgColor theme="0" tint="-0.34998626667073579"/>
        <bgColor indexed="64"/>
      </patternFill>
    </fill>
    <fill>
      <patternFill patternType="solid">
        <fgColor theme="7" tint="0.39997558519241921"/>
        <bgColor indexed="64"/>
      </patternFill>
    </fill>
    <fill>
      <patternFill patternType="solid">
        <fgColor rgb="FFFFFF00"/>
        <bgColor indexed="64"/>
      </patternFill>
    </fill>
  </fills>
  <borders count="46">
    <border>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thin">
        <color indexed="25"/>
      </top>
      <bottom style="thin">
        <color indexed="25"/>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right/>
      <top style="thin">
        <color rgb="FF000000"/>
      </top>
      <bottom/>
      <diagonal/>
    </border>
    <border>
      <left style="thin">
        <color indexed="64"/>
      </left>
      <right/>
      <top style="thin">
        <color rgb="FF000000"/>
      </top>
      <bottom/>
      <diagonal/>
    </border>
    <border>
      <left/>
      <right style="thin">
        <color indexed="64"/>
      </right>
      <top style="thin">
        <color rgb="FF000000"/>
      </top>
      <bottom style="thin">
        <color indexed="64"/>
      </bottom>
      <diagonal/>
    </border>
    <border>
      <left/>
      <right/>
      <top style="thin">
        <color indexed="64"/>
      </top>
      <bottom style="double">
        <color indexed="64"/>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s>
  <cellStyleXfs count="10">
    <xf numFmtId="0" fontId="0" fillId="0" borderId="0"/>
    <xf numFmtId="9" fontId="10" fillId="0" borderId="0" applyFont="0" applyFill="0" applyBorder="0" applyAlignment="0" applyProtection="0"/>
    <xf numFmtId="0" fontId="12" fillId="0" borderId="0" applyNumberFormat="0" applyFill="0" applyBorder="0" applyAlignment="0" applyProtection="0"/>
    <xf numFmtId="43" fontId="10" fillId="0" borderId="0" applyFont="0" applyFill="0" applyBorder="0" applyAlignment="0" applyProtection="0"/>
    <xf numFmtId="0" fontId="39" fillId="0" borderId="0" applyNumberFormat="0" applyFill="0" applyBorder="0" applyAlignment="0" applyProtection="0"/>
    <xf numFmtId="43" fontId="10" fillId="0" borderId="0" applyFont="0" applyFill="0" applyBorder="0" applyAlignment="0" applyProtection="0"/>
    <xf numFmtId="0" fontId="51" fillId="0" borderId="17">
      <alignment horizontal="right" wrapText="1"/>
    </xf>
    <xf numFmtId="173" fontId="52" fillId="0" borderId="17">
      <alignment horizontal="center"/>
    </xf>
    <xf numFmtId="0" fontId="53" fillId="0" borderId="0" applyFill="0" applyBorder="0">
      <alignment horizontal="left" vertical="top" wrapText="1"/>
    </xf>
    <xf numFmtId="173" fontId="53" fillId="0" borderId="0">
      <alignment horizontal="center"/>
    </xf>
  </cellStyleXfs>
  <cellXfs count="555">
    <xf numFmtId="0" fontId="0" fillId="0" borderId="0" xfId="0"/>
    <xf numFmtId="0" fontId="0" fillId="2" borderId="0" xfId="0" applyFill="1"/>
    <xf numFmtId="0" fontId="0" fillId="4" borderId="0" xfId="0" applyFill="1"/>
    <xf numFmtId="0" fontId="0" fillId="5" borderId="0" xfId="0" applyFill="1"/>
    <xf numFmtId="0" fontId="5" fillId="5" borderId="0" xfId="0" applyFont="1" applyFill="1"/>
    <xf numFmtId="0" fontId="0" fillId="4" borderId="1" xfId="0" applyFill="1" applyBorder="1" applyAlignment="1">
      <alignment horizontal="center"/>
    </xf>
    <xf numFmtId="0" fontId="0" fillId="4" borderId="0" xfId="0" applyFill="1" applyAlignment="1">
      <alignment horizontal="center"/>
    </xf>
    <xf numFmtId="0" fontId="4" fillId="5" borderId="1" xfId="0" applyFont="1" applyFill="1" applyBorder="1"/>
    <xf numFmtId="0" fontId="4" fillId="5" borderId="0" xfId="0" applyFont="1" applyFill="1" applyAlignment="1">
      <alignment horizontal="center"/>
    </xf>
    <xf numFmtId="0" fontId="30" fillId="5" borderId="0" xfId="0" applyFont="1" applyFill="1" applyAlignment="1">
      <alignment horizontal="center"/>
    </xf>
    <xf numFmtId="0" fontId="30" fillId="5" borderId="0" xfId="0" applyFont="1" applyFill="1"/>
    <xf numFmtId="15" fontId="5" fillId="5" borderId="0" xfId="0" applyNumberFormat="1" applyFont="1" applyFill="1" applyAlignment="1">
      <alignment horizontal="center"/>
    </xf>
    <xf numFmtId="0" fontId="0" fillId="6" borderId="0" xfId="0" applyFill="1"/>
    <xf numFmtId="0" fontId="5" fillId="6" borderId="0" xfId="0" applyFont="1" applyFill="1"/>
    <xf numFmtId="0" fontId="4" fillId="6" borderId="0" xfId="0" applyFont="1" applyFill="1"/>
    <xf numFmtId="0" fontId="0" fillId="6" borderId="22" xfId="0" applyFill="1" applyBorder="1"/>
    <xf numFmtId="43" fontId="0" fillId="6" borderId="22" xfId="3" applyFont="1" applyFill="1" applyBorder="1"/>
    <xf numFmtId="0" fontId="0" fillId="6" borderId="23" xfId="0" applyFill="1" applyBorder="1"/>
    <xf numFmtId="43" fontId="0" fillId="6" borderId="23" xfId="3" applyFont="1" applyFill="1" applyBorder="1"/>
    <xf numFmtId="0" fontId="0" fillId="6" borderId="18" xfId="0" applyFill="1" applyBorder="1"/>
    <xf numFmtId="43" fontId="0" fillId="6" borderId="18" xfId="3" applyFont="1" applyFill="1" applyBorder="1"/>
    <xf numFmtId="0" fontId="0" fillId="6" borderId="14" xfId="0" applyFill="1" applyBorder="1"/>
    <xf numFmtId="0" fontId="0" fillId="6" borderId="5" xfId="0" applyFill="1" applyBorder="1"/>
    <xf numFmtId="0" fontId="0" fillId="6" borderId="14" xfId="0" applyFill="1" applyBorder="1" applyAlignment="1">
      <alignment wrapText="1"/>
    </xf>
    <xf numFmtId="14" fontId="0" fillId="6" borderId="23" xfId="0" applyNumberFormat="1" applyFill="1" applyBorder="1"/>
    <xf numFmtId="2" fontId="0" fillId="6" borderId="1" xfId="0" applyNumberFormat="1" applyFill="1" applyBorder="1"/>
    <xf numFmtId="0" fontId="0" fillId="6" borderId="1" xfId="0" applyFill="1" applyBorder="1"/>
    <xf numFmtId="2" fontId="54" fillId="6" borderId="1" xfId="0" applyNumberFormat="1" applyFont="1" applyFill="1" applyBorder="1" applyAlignment="1">
      <alignment horizontal="right" vertical="center"/>
    </xf>
    <xf numFmtId="2" fontId="0" fillId="6" borderId="1" xfId="1" applyNumberFormat="1" applyFont="1" applyFill="1" applyBorder="1"/>
    <xf numFmtId="14" fontId="0" fillId="6" borderId="18" xfId="0" applyNumberFormat="1" applyFill="1" applyBorder="1"/>
    <xf numFmtId="2" fontId="0" fillId="6" borderId="11" xfId="0" applyNumberFormat="1" applyFill="1" applyBorder="1"/>
    <xf numFmtId="2" fontId="0" fillId="6" borderId="18" xfId="1" applyNumberFormat="1" applyFont="1" applyFill="1" applyBorder="1"/>
    <xf numFmtId="2" fontId="54" fillId="6" borderId="11" xfId="0" applyNumberFormat="1" applyFont="1" applyFill="1" applyBorder="1" applyAlignment="1">
      <alignment horizontal="right" vertical="center"/>
    </xf>
    <xf numFmtId="0" fontId="0" fillId="6" borderId="13" xfId="0" applyFill="1" applyBorder="1"/>
    <xf numFmtId="0" fontId="21" fillId="6" borderId="15" xfId="0" applyFont="1" applyFill="1" applyBorder="1"/>
    <xf numFmtId="2" fontId="21" fillId="6" borderId="16" xfId="0" applyNumberFormat="1" applyFont="1" applyFill="1" applyBorder="1"/>
    <xf numFmtId="2" fontId="21" fillId="6" borderId="16" xfId="1" applyNumberFormat="1" applyFont="1" applyFill="1" applyBorder="1"/>
    <xf numFmtId="2" fontId="21" fillId="6" borderId="13" xfId="0" applyNumberFormat="1" applyFont="1" applyFill="1" applyBorder="1"/>
    <xf numFmtId="10" fontId="0" fillId="6" borderId="0" xfId="1" applyNumberFormat="1" applyFont="1" applyFill="1" applyBorder="1"/>
    <xf numFmtId="0" fontId="0" fillId="6" borderId="16" xfId="0" applyFill="1" applyBorder="1"/>
    <xf numFmtId="10" fontId="21" fillId="6" borderId="16" xfId="1" applyNumberFormat="1" applyFont="1" applyFill="1" applyBorder="1"/>
    <xf numFmtId="0" fontId="21" fillId="6" borderId="16" xfId="0" applyFont="1" applyFill="1" applyBorder="1"/>
    <xf numFmtId="0" fontId="28" fillId="2" borderId="7" xfId="0" applyFont="1" applyFill="1" applyBorder="1"/>
    <xf numFmtId="2" fontId="28" fillId="2" borderId="22" xfId="0" applyNumberFormat="1" applyFont="1" applyFill="1" applyBorder="1"/>
    <xf numFmtId="164" fontId="0" fillId="6" borderId="0" xfId="3" applyNumberFormat="1" applyFont="1" applyFill="1" applyAlignment="1">
      <alignment horizontal="center"/>
    </xf>
    <xf numFmtId="0" fontId="11" fillId="6" borderId="0" xfId="0" applyFont="1" applyFill="1"/>
    <xf numFmtId="9" fontId="0" fillId="6" borderId="0" xfId="1" applyFont="1" applyFill="1" applyAlignment="1">
      <alignment horizontal="center"/>
    </xf>
    <xf numFmtId="164" fontId="1" fillId="6" borderId="0" xfId="3" applyNumberFormat="1" applyFont="1" applyFill="1" applyAlignment="1">
      <alignment horizontal="center"/>
    </xf>
    <xf numFmtId="0" fontId="1" fillId="6" borderId="0" xfId="0" applyFont="1" applyFill="1"/>
    <xf numFmtId="0" fontId="2" fillId="6" borderId="0" xfId="0" applyFont="1" applyFill="1"/>
    <xf numFmtId="169" fontId="2" fillId="6" borderId="0" xfId="1" applyNumberFormat="1" applyFont="1" applyFill="1" applyAlignment="1">
      <alignment horizontal="center"/>
    </xf>
    <xf numFmtId="164" fontId="2" fillId="6" borderId="0" xfId="3" applyNumberFormat="1" applyFont="1" applyFill="1" applyAlignment="1">
      <alignment horizontal="center"/>
    </xf>
    <xf numFmtId="0" fontId="0" fillId="6" borderId="0" xfId="0" applyFill="1" applyAlignment="1">
      <alignment horizontal="center"/>
    </xf>
    <xf numFmtId="9" fontId="2" fillId="6" borderId="0" xfId="1" applyFont="1" applyFill="1" applyAlignment="1">
      <alignment horizontal="center"/>
    </xf>
    <xf numFmtId="164" fontId="0" fillId="6" borderId="0" xfId="3" applyNumberFormat="1" applyFont="1" applyFill="1"/>
    <xf numFmtId="164" fontId="11" fillId="6" borderId="0" xfId="3" applyNumberFormat="1" applyFont="1" applyFill="1"/>
    <xf numFmtId="165" fontId="0" fillId="6" borderId="0" xfId="1" applyNumberFormat="1" applyFont="1" applyFill="1" applyAlignment="1">
      <alignment horizontal="center"/>
    </xf>
    <xf numFmtId="164" fontId="1" fillId="6" borderId="0" xfId="3" applyNumberFormat="1" applyFont="1" applyFill="1"/>
    <xf numFmtId="164" fontId="0" fillId="6" borderId="0" xfId="0" applyNumberFormat="1" applyFill="1"/>
    <xf numFmtId="9" fontId="0" fillId="6" borderId="0" xfId="1" applyFont="1" applyFill="1"/>
    <xf numFmtId="169" fontId="0" fillId="6" borderId="0" xfId="0" applyNumberFormat="1" applyFill="1"/>
    <xf numFmtId="0" fontId="4" fillId="4" borderId="0" xfId="0" applyFont="1" applyFill="1"/>
    <xf numFmtId="0" fontId="30" fillId="4" borderId="0" xfId="0" applyFont="1" applyFill="1" applyAlignment="1">
      <alignment horizontal="center"/>
    </xf>
    <xf numFmtId="0" fontId="30" fillId="4" borderId="0" xfId="0" applyFont="1" applyFill="1"/>
    <xf numFmtId="0" fontId="4" fillId="4" borderId="0" xfId="0" applyFont="1" applyFill="1" applyAlignment="1">
      <alignment horizontal="center"/>
    </xf>
    <xf numFmtId="41" fontId="1" fillId="6" borderId="0" xfId="3" applyNumberFormat="1" applyFont="1" applyFill="1"/>
    <xf numFmtId="0" fontId="5" fillId="4" borderId="0" xfId="0" applyFont="1" applyFill="1"/>
    <xf numFmtId="0" fontId="56" fillId="4" borderId="0" xfId="0" applyFont="1" applyFill="1"/>
    <xf numFmtId="0" fontId="57" fillId="4" borderId="0" xfId="0" applyFont="1" applyFill="1"/>
    <xf numFmtId="0" fontId="1" fillId="4" borderId="0" xfId="0" applyFont="1" applyFill="1"/>
    <xf numFmtId="0" fontId="28" fillId="4" borderId="7" xfId="0" applyFont="1" applyFill="1" applyBorder="1"/>
    <xf numFmtId="0" fontId="28" fillId="4" borderId="14" xfId="0" applyFont="1" applyFill="1" applyBorder="1"/>
    <xf numFmtId="167" fontId="0" fillId="6" borderId="0" xfId="3" applyNumberFormat="1" applyFont="1" applyFill="1"/>
    <xf numFmtId="0" fontId="45" fillId="6" borderId="0" xfId="0" applyFont="1" applyFill="1"/>
    <xf numFmtId="0" fontId="48" fillId="6" borderId="0" xfId="0" applyFont="1" applyFill="1" applyAlignment="1">
      <alignment horizontal="left"/>
    </xf>
    <xf numFmtId="0" fontId="45" fillId="6" borderId="0" xfId="0" applyFont="1" applyFill="1" applyAlignment="1">
      <alignment horizontal="left"/>
    </xf>
    <xf numFmtId="0" fontId="46" fillId="6" borderId="0" xfId="0" applyFont="1" applyFill="1" applyAlignment="1">
      <alignment vertical="top"/>
    </xf>
    <xf numFmtId="167" fontId="0" fillId="6" borderId="0" xfId="0" applyNumberFormat="1" applyFill="1"/>
    <xf numFmtId="167" fontId="1" fillId="6" borderId="0" xfId="3" applyNumberFormat="1" applyFont="1" applyFill="1"/>
    <xf numFmtId="0" fontId="48" fillId="6" borderId="0" xfId="0" applyFont="1" applyFill="1"/>
    <xf numFmtId="167" fontId="10" fillId="6" borderId="0" xfId="3" applyNumberFormat="1" applyFont="1" applyFill="1"/>
    <xf numFmtId="0" fontId="45" fillId="6" borderId="4" xfId="0" applyFont="1" applyFill="1" applyBorder="1"/>
    <xf numFmtId="0" fontId="9" fillId="6" borderId="0" xfId="0" applyFont="1" applyFill="1"/>
    <xf numFmtId="167" fontId="9" fillId="6" borderId="0" xfId="3" applyNumberFormat="1" applyFont="1" applyFill="1" applyBorder="1"/>
    <xf numFmtId="167" fontId="5" fillId="6" borderId="0" xfId="3" applyNumberFormat="1" applyFont="1" applyFill="1" applyBorder="1"/>
    <xf numFmtId="0" fontId="58" fillId="4" borderId="0" xfId="0" applyFont="1" applyFill="1" applyAlignment="1">
      <alignment horizontal="center"/>
    </xf>
    <xf numFmtId="0" fontId="58" fillId="4" borderId="0" xfId="0" applyFont="1" applyFill="1"/>
    <xf numFmtId="0" fontId="1" fillId="4" borderId="0" xfId="0" applyFont="1" applyFill="1" applyAlignment="1">
      <alignment horizontal="center"/>
    </xf>
    <xf numFmtId="0" fontId="49" fillId="6" borderId="0" xfId="0" applyFont="1" applyFill="1"/>
    <xf numFmtId="10" fontId="0" fillId="6" borderId="0" xfId="1" applyNumberFormat="1" applyFont="1" applyFill="1"/>
    <xf numFmtId="0" fontId="49" fillId="6" borderId="6" xfId="0" applyFont="1" applyFill="1" applyBorder="1"/>
    <xf numFmtId="0" fontId="0" fillId="6" borderId="6" xfId="0" applyFill="1" applyBorder="1"/>
    <xf numFmtId="167" fontId="0" fillId="6" borderId="6" xfId="0" applyNumberFormat="1" applyFill="1" applyBorder="1"/>
    <xf numFmtId="0" fontId="50" fillId="6" borderId="0" xfId="0" applyFont="1" applyFill="1"/>
    <xf numFmtId="10" fontId="0" fillId="6" borderId="0" xfId="0" applyNumberFormat="1" applyFill="1"/>
    <xf numFmtId="171" fontId="0" fillId="6" borderId="0" xfId="1" applyNumberFormat="1" applyFont="1" applyFill="1"/>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21" xfId="0" applyFont="1" applyFill="1" applyBorder="1" applyAlignment="1">
      <alignment horizontal="center"/>
    </xf>
    <xf numFmtId="0" fontId="0" fillId="6" borderId="18" xfId="0" applyFill="1" applyBorder="1" applyAlignment="1">
      <alignment horizontal="center"/>
    </xf>
    <xf numFmtId="10" fontId="0" fillId="6" borderId="18" xfId="1" applyNumberFormat="1" applyFont="1" applyFill="1" applyBorder="1" applyAlignment="1">
      <alignment horizontal="center"/>
    </xf>
    <xf numFmtId="172" fontId="0" fillId="6" borderId="18" xfId="0" applyNumberFormat="1" applyFill="1" applyBorder="1" applyAlignment="1">
      <alignment horizontal="center"/>
    </xf>
    <xf numFmtId="172" fontId="0" fillId="6" borderId="0" xfId="0" applyNumberFormat="1" applyFill="1" applyAlignment="1">
      <alignment horizontal="center"/>
    </xf>
    <xf numFmtId="2" fontId="0" fillId="6" borderId="0" xfId="0" applyNumberFormat="1" applyFill="1"/>
    <xf numFmtId="0" fontId="0" fillId="6" borderId="14" xfId="0" applyFill="1" applyBorder="1" applyAlignment="1">
      <alignment horizontal="center"/>
    </xf>
    <xf numFmtId="10" fontId="0" fillId="6" borderId="14" xfId="1" applyNumberFormat="1" applyFont="1" applyFill="1" applyBorder="1" applyAlignment="1">
      <alignment horizontal="center"/>
    </xf>
    <xf numFmtId="172" fontId="0" fillId="6" borderId="14" xfId="0" applyNumberFormat="1" applyFill="1" applyBorder="1" applyAlignment="1">
      <alignment horizontal="center"/>
    </xf>
    <xf numFmtId="165" fontId="0" fillId="6" borderId="14" xfId="1" applyNumberFormat="1" applyFont="1" applyFill="1" applyBorder="1" applyAlignment="1">
      <alignment horizontal="center"/>
    </xf>
    <xf numFmtId="172" fontId="0" fillId="6" borderId="0" xfId="0" applyNumberFormat="1" applyFill="1"/>
    <xf numFmtId="0" fontId="1" fillId="6" borderId="0" xfId="0" applyFont="1" applyFill="1" applyAlignment="1">
      <alignment horizontal="center"/>
    </xf>
    <xf numFmtId="2" fontId="1" fillId="6" borderId="0" xfId="0" applyNumberFormat="1" applyFont="1" applyFill="1"/>
    <xf numFmtId="10" fontId="1" fillId="6" borderId="0" xfId="1" applyNumberFormat="1" applyFont="1" applyFill="1" applyAlignment="1">
      <alignment horizontal="center"/>
    </xf>
    <xf numFmtId="15" fontId="4" fillId="4" borderId="0" xfId="0" applyNumberFormat="1" applyFont="1" applyFill="1"/>
    <xf numFmtId="15" fontId="1" fillId="4" borderId="0" xfId="0" applyNumberFormat="1" applyFont="1" applyFill="1"/>
    <xf numFmtId="167" fontId="0" fillId="6" borderId="0" xfId="0" applyNumberFormat="1" applyFill="1" applyAlignment="1">
      <alignment horizontal="center"/>
    </xf>
    <xf numFmtId="0" fontId="55" fillId="6" borderId="0" xfId="0" applyFont="1" applyFill="1"/>
    <xf numFmtId="168" fontId="0" fillId="6" borderId="0" xfId="0" applyNumberFormat="1" applyFill="1" applyAlignment="1">
      <alignment horizontal="center"/>
    </xf>
    <xf numFmtId="0" fontId="21" fillId="6" borderId="0" xfId="0" applyFont="1" applyFill="1"/>
    <xf numFmtId="167" fontId="21" fillId="6" borderId="0" xfId="0" applyNumberFormat="1" applyFont="1" applyFill="1" applyAlignment="1">
      <alignment horizontal="center"/>
    </xf>
    <xf numFmtId="0" fontId="1" fillId="6" borderId="4" xfId="0" applyFont="1" applyFill="1" applyBorder="1"/>
    <xf numFmtId="167" fontId="1" fillId="6" borderId="4" xfId="0" applyNumberFormat="1" applyFont="1" applyFill="1" applyBorder="1" applyAlignment="1">
      <alignment horizontal="center"/>
    </xf>
    <xf numFmtId="167" fontId="0" fillId="6" borderId="0" xfId="0" applyNumberFormat="1" applyFill="1" applyAlignment="1">
      <alignment horizontal="center" vertical="center"/>
    </xf>
    <xf numFmtId="0" fontId="0" fillId="6" borderId="0" xfId="0" applyFill="1" applyAlignment="1">
      <alignment vertical="center"/>
    </xf>
    <xf numFmtId="3" fontId="0" fillId="6" borderId="0" xfId="0" applyNumberFormat="1" applyFill="1" applyAlignment="1">
      <alignment horizontal="center"/>
    </xf>
    <xf numFmtId="0" fontId="26" fillId="6" borderId="0" xfId="0" applyFont="1" applyFill="1"/>
    <xf numFmtId="3" fontId="26" fillId="6" borderId="0" xfId="0" applyNumberFormat="1" applyFont="1" applyFill="1" applyAlignment="1">
      <alignment horizontal="center"/>
    </xf>
    <xf numFmtId="0" fontId="45" fillId="6" borderId="0" xfId="0" applyFont="1" applyFill="1" applyAlignment="1">
      <alignment vertical="top"/>
    </xf>
    <xf numFmtId="0" fontId="47" fillId="6" borderId="0" xfId="0" applyFont="1" applyFill="1" applyAlignment="1">
      <alignment vertical="top"/>
    </xf>
    <xf numFmtId="0" fontId="48" fillId="6" borderId="0" xfId="0" applyFont="1" applyFill="1" applyAlignment="1">
      <alignment vertical="top"/>
    </xf>
    <xf numFmtId="168" fontId="0" fillId="6" borderId="0" xfId="0" applyNumberFormat="1" applyFill="1"/>
    <xf numFmtId="0" fontId="0" fillId="7" borderId="0" xfId="0" applyFill="1"/>
    <xf numFmtId="0" fontId="4" fillId="7" borderId="0" xfId="0" applyFont="1" applyFill="1" applyAlignment="1">
      <alignment horizontal="center"/>
    </xf>
    <xf numFmtId="0" fontId="0" fillId="7" borderId="0" xfId="0" applyFill="1" applyAlignment="1">
      <alignment horizontal="center"/>
    </xf>
    <xf numFmtId="167" fontId="0" fillId="7" borderId="0" xfId="0" applyNumberFormat="1" applyFill="1" applyAlignment="1">
      <alignment horizontal="center"/>
    </xf>
    <xf numFmtId="168" fontId="0" fillId="7" borderId="0" xfId="0" applyNumberFormat="1" applyFill="1" applyAlignment="1">
      <alignment horizontal="center"/>
    </xf>
    <xf numFmtId="9" fontId="0" fillId="7" borderId="0" xfId="1" applyFont="1" applyFill="1" applyAlignment="1">
      <alignment horizontal="center"/>
    </xf>
    <xf numFmtId="167" fontId="21" fillId="7" borderId="0" xfId="0" applyNumberFormat="1" applyFont="1" applyFill="1" applyAlignment="1">
      <alignment horizontal="center"/>
    </xf>
    <xf numFmtId="167" fontId="1" fillId="7" borderId="4" xfId="0" applyNumberFormat="1" applyFont="1" applyFill="1" applyBorder="1" applyAlignment="1">
      <alignment horizontal="center"/>
    </xf>
    <xf numFmtId="167" fontId="0" fillId="7" borderId="0" xfId="0" applyNumberFormat="1" applyFill="1"/>
    <xf numFmtId="167" fontId="0" fillId="7" borderId="0" xfId="0" applyNumberFormat="1" applyFill="1" applyAlignment="1">
      <alignment horizontal="center" vertical="center"/>
    </xf>
    <xf numFmtId="3" fontId="0" fillId="7" borderId="0" xfId="0" applyNumberFormat="1" applyFill="1" applyAlignment="1">
      <alignment horizontal="center"/>
    </xf>
    <xf numFmtId="0" fontId="26" fillId="7" borderId="0" xfId="0" applyFont="1" applyFill="1" applyAlignment="1">
      <alignment horizontal="center"/>
    </xf>
    <xf numFmtId="165" fontId="0" fillId="7" borderId="0" xfId="0" applyNumberFormat="1" applyFill="1" applyAlignment="1">
      <alignment horizontal="center"/>
    </xf>
    <xf numFmtId="169" fontId="0" fillId="7" borderId="0" xfId="0" applyNumberFormat="1" applyFill="1"/>
    <xf numFmtId="164" fontId="0" fillId="7" borderId="0" xfId="3" applyNumberFormat="1" applyFont="1" applyFill="1" applyAlignment="1">
      <alignment horizontal="center"/>
    </xf>
    <xf numFmtId="169" fontId="0" fillId="7" borderId="0" xfId="3" applyNumberFormat="1" applyFont="1" applyFill="1" applyAlignment="1">
      <alignment horizontal="center"/>
    </xf>
    <xf numFmtId="10" fontId="0" fillId="7" borderId="0" xfId="3" applyNumberFormat="1" applyFont="1" applyFill="1" applyAlignment="1">
      <alignment horizontal="center"/>
    </xf>
    <xf numFmtId="164" fontId="1" fillId="7" borderId="0" xfId="3" applyNumberFormat="1" applyFont="1" applyFill="1" applyAlignment="1">
      <alignment horizontal="center"/>
    </xf>
    <xf numFmtId="0" fontId="2" fillId="7" borderId="0" xfId="0" applyFont="1" applyFill="1" applyAlignment="1">
      <alignment horizontal="center"/>
    </xf>
    <xf numFmtId="164" fontId="0" fillId="7" borderId="0" xfId="3" applyNumberFormat="1" applyFont="1" applyFill="1"/>
    <xf numFmtId="164" fontId="1" fillId="7" borderId="0" xfId="3" applyNumberFormat="1" applyFont="1" applyFill="1"/>
    <xf numFmtId="164" fontId="0" fillId="7" borderId="0" xfId="0" applyNumberFormat="1" applyFill="1"/>
    <xf numFmtId="0" fontId="32" fillId="6" borderId="0" xfId="0" applyFont="1" applyFill="1"/>
    <xf numFmtId="0" fontId="36" fillId="6" borderId="0" xfId="0" applyFont="1" applyFill="1"/>
    <xf numFmtId="167" fontId="36" fillId="6" borderId="0" xfId="0" applyNumberFormat="1" applyFont="1" applyFill="1" applyAlignment="1">
      <alignment horizontal="center"/>
    </xf>
    <xf numFmtId="167" fontId="2" fillId="6" borderId="0" xfId="0" applyNumberFormat="1" applyFont="1" applyFill="1" applyAlignment="1">
      <alignment horizontal="center"/>
    </xf>
    <xf numFmtId="167" fontId="11" fillId="6" borderId="0" xfId="0" applyNumberFormat="1" applyFont="1" applyFill="1" applyAlignment="1">
      <alignment horizontal="center"/>
    </xf>
    <xf numFmtId="9" fontId="11" fillId="6" borderId="0" xfId="1" applyFont="1" applyFill="1" applyAlignment="1">
      <alignment horizontal="center"/>
    </xf>
    <xf numFmtId="0" fontId="28" fillId="6" borderId="0" xfId="0" applyFont="1" applyFill="1"/>
    <xf numFmtId="167" fontId="28" fillId="6" borderId="0" xfId="3" applyNumberFormat="1" applyFont="1" applyFill="1" applyAlignment="1">
      <alignment horizontal="center"/>
    </xf>
    <xf numFmtId="167" fontId="28" fillId="6" borderId="0" xfId="0" applyNumberFormat="1" applyFont="1" applyFill="1" applyAlignment="1">
      <alignment horizontal="center"/>
    </xf>
    <xf numFmtId="0" fontId="33" fillId="6" borderId="0" xfId="0" applyFont="1" applyFill="1"/>
    <xf numFmtId="0" fontId="34" fillId="6" borderId="0" xfId="4" applyFont="1" applyFill="1" applyBorder="1" applyAlignment="1">
      <alignment horizontal="center" wrapText="1"/>
    </xf>
    <xf numFmtId="0" fontId="40" fillId="6" borderId="0" xfId="4" applyFont="1" applyFill="1" applyBorder="1" applyAlignment="1">
      <alignment horizontal="center" wrapText="1"/>
    </xf>
    <xf numFmtId="167" fontId="1" fillId="6" borderId="0" xfId="0" applyNumberFormat="1" applyFont="1" applyFill="1" applyAlignment="1">
      <alignment horizontal="center"/>
    </xf>
    <xf numFmtId="0" fontId="37" fillId="6" borderId="6" xfId="0" applyFont="1" applyFill="1" applyBorder="1"/>
    <xf numFmtId="9" fontId="37" fillId="6" borderId="6" xfId="1" applyFont="1" applyFill="1" applyBorder="1" applyAlignment="1">
      <alignment horizontal="center"/>
    </xf>
    <xf numFmtId="0" fontId="34" fillId="6" borderId="0" xfId="0" applyFont="1" applyFill="1"/>
    <xf numFmtId="167" fontId="34" fillId="6" borderId="0" xfId="0" applyNumberFormat="1" applyFont="1" applyFill="1" applyAlignment="1">
      <alignment horizontal="center"/>
    </xf>
    <xf numFmtId="0" fontId="35" fillId="6" borderId="0" xfId="0" applyFont="1" applyFill="1"/>
    <xf numFmtId="166" fontId="11" fillId="6" borderId="0" xfId="0" applyNumberFormat="1" applyFont="1" applyFill="1"/>
    <xf numFmtId="167" fontId="11" fillId="6" borderId="0" xfId="3" applyNumberFormat="1" applyFont="1" applyFill="1" applyAlignment="1">
      <alignment horizontal="center"/>
    </xf>
    <xf numFmtId="166" fontId="0" fillId="6" borderId="0" xfId="0" applyNumberFormat="1" applyFill="1"/>
    <xf numFmtId="0" fontId="28" fillId="6" borderId="4" xfId="0" applyFont="1" applyFill="1" applyBorder="1"/>
    <xf numFmtId="167" fontId="28" fillId="6" borderId="4" xfId="0" applyNumberFormat="1" applyFont="1" applyFill="1" applyBorder="1" applyAlignment="1">
      <alignment horizontal="center"/>
    </xf>
    <xf numFmtId="0" fontId="37" fillId="6" borderId="0" xfId="0" applyFont="1" applyFill="1"/>
    <xf numFmtId="164" fontId="37" fillId="6" borderId="0" xfId="0" applyNumberFormat="1" applyFont="1" applyFill="1"/>
    <xf numFmtId="167" fontId="43" fillId="6" borderId="0" xfId="0" applyNumberFormat="1" applyFont="1" applyFill="1" applyAlignment="1">
      <alignment horizontal="center"/>
    </xf>
    <xf numFmtId="167" fontId="24" fillId="6" borderId="0" xfId="0" applyNumberFormat="1" applyFont="1" applyFill="1" applyAlignment="1">
      <alignment horizontal="center"/>
    </xf>
    <xf numFmtId="0" fontId="0" fillId="6" borderId="7" xfId="0" applyFill="1" applyBorder="1"/>
    <xf numFmtId="0" fontId="0" fillId="6" borderId="8" xfId="0" applyFill="1" applyBorder="1"/>
    <xf numFmtId="0" fontId="0" fillId="6" borderId="8" xfId="0" applyFill="1" applyBorder="1" applyAlignment="1">
      <alignment horizontal="center"/>
    </xf>
    <xf numFmtId="0" fontId="0" fillId="6" borderId="9" xfId="0" applyFill="1" applyBorder="1" applyAlignment="1">
      <alignment horizontal="center"/>
    </xf>
    <xf numFmtId="0" fontId="0" fillId="6" borderId="2" xfId="0" applyFill="1" applyBorder="1"/>
    <xf numFmtId="2" fontId="0" fillId="6" borderId="0" xfId="1" applyNumberFormat="1" applyFont="1" applyFill="1" applyBorder="1" applyAlignment="1">
      <alignment horizontal="center"/>
    </xf>
    <xf numFmtId="0" fontId="0" fillId="6" borderId="10" xfId="0" applyFill="1" applyBorder="1"/>
    <xf numFmtId="2" fontId="0" fillId="6" borderId="6" xfId="1" applyNumberFormat="1" applyFont="1" applyFill="1" applyBorder="1" applyAlignment="1">
      <alignment horizontal="center"/>
    </xf>
    <xf numFmtId="0" fontId="0" fillId="6" borderId="1" xfId="0" applyFill="1" applyBorder="1" applyAlignment="1">
      <alignment horizontal="center"/>
    </xf>
    <xf numFmtId="0" fontId="0" fillId="6" borderId="6" xfId="0" applyFill="1" applyBorder="1" applyAlignment="1">
      <alignment horizontal="center"/>
    </xf>
    <xf numFmtId="2" fontId="0" fillId="6" borderId="0" xfId="0" applyNumberFormat="1" applyFill="1" applyAlignment="1">
      <alignment horizontal="center"/>
    </xf>
    <xf numFmtId="9" fontId="0" fillId="6" borderId="0" xfId="0" applyNumberFormat="1" applyFill="1" applyAlignment="1">
      <alignment horizontal="center"/>
    </xf>
    <xf numFmtId="0" fontId="38" fillId="6" borderId="6" xfId="0" applyFont="1" applyFill="1" applyBorder="1"/>
    <xf numFmtId="165" fontId="38" fillId="6" borderId="6" xfId="1" applyNumberFormat="1" applyFont="1" applyFill="1" applyBorder="1" applyAlignment="1">
      <alignment horizontal="center"/>
    </xf>
    <xf numFmtId="0" fontId="38" fillId="6" borderId="4" xfId="0" applyFont="1" applyFill="1" applyBorder="1"/>
    <xf numFmtId="165" fontId="38" fillId="6" borderId="4" xfId="1" applyNumberFormat="1" applyFont="1" applyFill="1" applyBorder="1" applyAlignment="1">
      <alignment horizontal="center"/>
    </xf>
    <xf numFmtId="10" fontId="38" fillId="6" borderId="4" xfId="1" applyNumberFormat="1" applyFont="1" applyFill="1" applyBorder="1" applyAlignment="1">
      <alignment horizontal="center"/>
    </xf>
    <xf numFmtId="0" fontId="38" fillId="6" borderId="0" xfId="0" applyFont="1" applyFill="1"/>
    <xf numFmtId="9" fontId="38" fillId="6" borderId="0" xfId="1" applyFont="1" applyFill="1" applyAlignment="1">
      <alignment horizontal="center"/>
    </xf>
    <xf numFmtId="0" fontId="38" fillId="6" borderId="0" xfId="0" applyFont="1" applyFill="1" applyAlignment="1">
      <alignment horizontal="center"/>
    </xf>
    <xf numFmtId="165" fontId="38" fillId="6" borderId="0" xfId="1" applyNumberFormat="1" applyFont="1" applyFill="1" applyAlignment="1">
      <alignment horizontal="center"/>
    </xf>
    <xf numFmtId="9" fontId="0" fillId="6" borderId="0" xfId="0" applyNumberFormat="1" applyFill="1"/>
    <xf numFmtId="0" fontId="25" fillId="6" borderId="8" xfId="0" applyFont="1" applyFill="1" applyBorder="1"/>
    <xf numFmtId="0" fontId="41" fillId="6" borderId="8" xfId="2" applyFont="1" applyFill="1" applyBorder="1" applyAlignment="1"/>
    <xf numFmtId="0" fontId="41" fillId="6" borderId="9" xfId="2" applyFont="1" applyFill="1" applyBorder="1" applyAlignment="1"/>
    <xf numFmtId="0" fontId="12" fillId="6" borderId="0" xfId="2" applyFill="1" applyAlignment="1"/>
    <xf numFmtId="0" fontId="25" fillId="6" borderId="0" xfId="0" applyFont="1" applyFill="1"/>
    <xf numFmtId="0" fontId="42" fillId="6" borderId="0" xfId="0" applyFont="1" applyFill="1"/>
    <xf numFmtId="0" fontId="42" fillId="6" borderId="1" xfId="0" applyFont="1" applyFill="1" applyBorder="1"/>
    <xf numFmtId="0" fontId="41" fillId="6" borderId="6" xfId="2" applyFont="1" applyFill="1" applyBorder="1"/>
    <xf numFmtId="0" fontId="41" fillId="6" borderId="11" xfId="2" applyFont="1" applyFill="1" applyBorder="1"/>
    <xf numFmtId="9" fontId="2" fillId="7" borderId="0" xfId="1" applyFont="1" applyFill="1" applyAlignment="1">
      <alignment horizontal="center"/>
    </xf>
    <xf numFmtId="9" fontId="28" fillId="7" borderId="0" xfId="1" applyFont="1" applyFill="1" applyAlignment="1">
      <alignment horizontal="center"/>
    </xf>
    <xf numFmtId="9" fontId="1" fillId="7" borderId="0" xfId="1" applyFont="1" applyFill="1" applyAlignment="1">
      <alignment horizontal="center"/>
    </xf>
    <xf numFmtId="9" fontId="1" fillId="7" borderId="4" xfId="1" applyFont="1" applyFill="1" applyBorder="1" applyAlignment="1">
      <alignment horizontal="center"/>
    </xf>
    <xf numFmtId="9" fontId="34" fillId="7" borderId="0" xfId="1" applyFont="1" applyFill="1" applyAlignment="1">
      <alignment horizontal="center"/>
    </xf>
    <xf numFmtId="9" fontId="28" fillId="7" borderId="4" xfId="1" applyFont="1" applyFill="1" applyBorder="1" applyAlignment="1">
      <alignment horizontal="center"/>
    </xf>
    <xf numFmtId="9" fontId="0" fillId="7" borderId="0" xfId="1" applyFont="1" applyFill="1"/>
    <xf numFmtId="167" fontId="28" fillId="7" borderId="4" xfId="0" applyNumberFormat="1" applyFont="1" applyFill="1" applyBorder="1" applyAlignment="1">
      <alignment horizontal="center"/>
    </xf>
    <xf numFmtId="2" fontId="0" fillId="7" borderId="0" xfId="1" applyNumberFormat="1" applyFont="1" applyFill="1" applyBorder="1" applyAlignment="1">
      <alignment horizontal="center"/>
    </xf>
    <xf numFmtId="2" fontId="0" fillId="7" borderId="6" xfId="1" applyNumberFormat="1" applyFont="1" applyFill="1" applyBorder="1" applyAlignment="1">
      <alignment horizontal="center"/>
    </xf>
    <xf numFmtId="0" fontId="1" fillId="7" borderId="0" xfId="0" applyFont="1" applyFill="1" applyAlignment="1">
      <alignment horizontal="center"/>
    </xf>
    <xf numFmtId="167" fontId="1" fillId="7" borderId="0" xfId="0" applyNumberFormat="1" applyFont="1" applyFill="1" applyAlignment="1">
      <alignment horizontal="center"/>
    </xf>
    <xf numFmtId="9" fontId="21" fillId="7" borderId="6" xfId="1" applyFont="1" applyFill="1" applyBorder="1" applyAlignment="1">
      <alignment horizontal="center"/>
    </xf>
    <xf numFmtId="0" fontId="0" fillId="7" borderId="8" xfId="0" applyFill="1" applyBorder="1" applyAlignment="1">
      <alignment horizontal="center"/>
    </xf>
    <xf numFmtId="0" fontId="0" fillId="7" borderId="6" xfId="0" applyFill="1" applyBorder="1" applyAlignment="1">
      <alignment horizontal="center"/>
    </xf>
    <xf numFmtId="9" fontId="0" fillId="7" borderId="0" xfId="0" applyNumberFormat="1" applyFill="1" applyAlignment="1">
      <alignment horizontal="center"/>
    </xf>
    <xf numFmtId="165" fontId="2" fillId="7" borderId="6" xfId="1" applyNumberFormat="1" applyFont="1" applyFill="1" applyBorder="1" applyAlignment="1">
      <alignment horizontal="center"/>
    </xf>
    <xf numFmtId="9" fontId="2" fillId="7" borderId="0" xfId="0" applyNumberFormat="1" applyFont="1" applyFill="1" applyAlignment="1">
      <alignment horizontal="center"/>
    </xf>
    <xf numFmtId="165" fontId="2" fillId="7" borderId="0" xfId="1" applyNumberFormat="1" applyFont="1" applyFill="1" applyBorder="1" applyAlignment="1">
      <alignment horizontal="center"/>
    </xf>
    <xf numFmtId="0" fontId="59" fillId="7" borderId="0" xfId="2" applyFont="1" applyFill="1" applyAlignment="1"/>
    <xf numFmtId="2" fontId="0" fillId="6" borderId="18" xfId="0" applyNumberFormat="1" applyFill="1" applyBorder="1"/>
    <xf numFmtId="2" fontId="0" fillId="6" borderId="11" xfId="1" applyNumberFormat="1" applyFont="1" applyFill="1" applyBorder="1"/>
    <xf numFmtId="2" fontId="0" fillId="6" borderId="22" xfId="0" applyNumberFormat="1" applyFill="1" applyBorder="1"/>
    <xf numFmtId="2" fontId="0" fillId="6" borderId="23" xfId="0" applyNumberFormat="1" applyFill="1" applyBorder="1"/>
    <xf numFmtId="0" fontId="31" fillId="6" borderId="0" xfId="0" applyFont="1" applyFill="1" applyAlignment="1">
      <alignment horizontal="center"/>
    </xf>
    <xf numFmtId="0" fontId="4" fillId="6" borderId="1" xfId="0" applyFont="1" applyFill="1" applyBorder="1"/>
    <xf numFmtId="1" fontId="0" fillId="6" borderId="0" xfId="0" applyNumberFormat="1" applyFill="1" applyAlignment="1">
      <alignment horizontal="center"/>
    </xf>
    <xf numFmtId="1" fontId="0" fillId="6" borderId="0" xfId="0" applyNumberFormat="1" applyFill="1"/>
    <xf numFmtId="1" fontId="4" fillId="6" borderId="0" xfId="0" applyNumberFormat="1" applyFont="1" applyFill="1" applyAlignment="1">
      <alignment horizontal="center"/>
    </xf>
    <xf numFmtId="1" fontId="4" fillId="6" borderId="1" xfId="0" applyNumberFormat="1" applyFont="1" applyFill="1" applyBorder="1" applyAlignment="1">
      <alignment horizontal="center"/>
    </xf>
    <xf numFmtId="1" fontId="0" fillId="6" borderId="1" xfId="0" applyNumberFormat="1" applyFill="1" applyBorder="1" applyAlignment="1">
      <alignment horizontal="center"/>
    </xf>
    <xf numFmtId="0" fontId="7" fillId="6" borderId="0" xfId="0" applyFont="1" applyFill="1"/>
    <xf numFmtId="9" fontId="2" fillId="6" borderId="1" xfId="1" applyFont="1" applyFill="1" applyBorder="1" applyAlignment="1">
      <alignment horizontal="center"/>
    </xf>
    <xf numFmtId="9" fontId="13" fillId="6" borderId="0" xfId="1" applyFont="1" applyFill="1" applyAlignment="1">
      <alignment horizontal="center"/>
    </xf>
    <xf numFmtId="0" fontId="14" fillId="6" borderId="0" xfId="0" applyFont="1" applyFill="1"/>
    <xf numFmtId="0" fontId="15" fillId="6" borderId="0" xfId="0" applyFont="1" applyFill="1"/>
    <xf numFmtId="9" fontId="0" fillId="6" borderId="1" xfId="1" applyFont="1" applyFill="1" applyBorder="1" applyAlignment="1">
      <alignment horizontal="center"/>
    </xf>
    <xf numFmtId="9" fontId="16" fillId="6" borderId="0" xfId="1" applyFont="1" applyFill="1" applyAlignment="1">
      <alignment horizontal="center"/>
    </xf>
    <xf numFmtId="9" fontId="16" fillId="6" borderId="1" xfId="1" applyFont="1" applyFill="1" applyBorder="1" applyAlignment="1">
      <alignment horizontal="center"/>
    </xf>
    <xf numFmtId="9" fontId="24" fillId="6" borderId="0" xfId="1" applyFont="1" applyFill="1" applyAlignment="1">
      <alignment horizontal="center"/>
    </xf>
    <xf numFmtId="9" fontId="16" fillId="6" borderId="0" xfId="1" applyFont="1" applyFill="1" applyBorder="1" applyAlignment="1">
      <alignment horizontal="center"/>
    </xf>
    <xf numFmtId="0" fontId="1" fillId="6" borderId="3" xfId="0" applyFont="1" applyFill="1" applyBorder="1"/>
    <xf numFmtId="0" fontId="0" fillId="6" borderId="4" xfId="0" applyFill="1" applyBorder="1"/>
    <xf numFmtId="10" fontId="1" fillId="6" borderId="5" xfId="0" applyNumberFormat="1" applyFont="1" applyFill="1" applyBorder="1"/>
    <xf numFmtId="0" fontId="12" fillId="6" borderId="0" xfId="2" applyFill="1" applyAlignment="1">
      <alignment horizontal="center"/>
    </xf>
    <xf numFmtId="0" fontId="29" fillId="6" borderId="0" xfId="0" applyFont="1" applyFill="1"/>
    <xf numFmtId="0" fontId="5" fillId="5" borderId="0" xfId="0" applyFont="1" applyFill="1" applyAlignment="1">
      <alignment horizontal="center"/>
    </xf>
    <xf numFmtId="0" fontId="5" fillId="5" borderId="1" xfId="0" applyFont="1" applyFill="1" applyBorder="1" applyAlignment="1">
      <alignment horizontal="center"/>
    </xf>
    <xf numFmtId="0" fontId="28" fillId="4" borderId="0" xfId="0" applyFont="1" applyFill="1"/>
    <xf numFmtId="1" fontId="0" fillId="4" borderId="0" xfId="0" applyNumberFormat="1" applyFill="1" applyAlignment="1">
      <alignment horizontal="center"/>
    </xf>
    <xf numFmtId="1" fontId="0" fillId="4" borderId="1" xfId="0" applyNumberFormat="1" applyFill="1" applyBorder="1" applyAlignment="1">
      <alignment horizontal="center"/>
    </xf>
    <xf numFmtId="0" fontId="8" fillId="4" borderId="0" xfId="0" applyFont="1" applyFill="1"/>
    <xf numFmtId="0" fontId="2" fillId="4" borderId="0" xfId="0" applyFont="1" applyFill="1" applyAlignment="1">
      <alignment horizontal="center"/>
    </xf>
    <xf numFmtId="0" fontId="2" fillId="4" borderId="1" xfId="0" applyFont="1" applyFill="1" applyBorder="1" applyAlignment="1">
      <alignment horizontal="center"/>
    </xf>
    <xf numFmtId="0" fontId="19" fillId="4" borderId="0" xfId="0" applyFont="1" applyFill="1"/>
    <xf numFmtId="1" fontId="20" fillId="4" borderId="0" xfId="1" applyNumberFormat="1" applyFont="1" applyFill="1" applyAlignment="1">
      <alignment horizontal="center"/>
    </xf>
    <xf numFmtId="1" fontId="20" fillId="4" borderId="1" xfId="1" applyNumberFormat="1" applyFont="1" applyFill="1" applyBorder="1" applyAlignment="1">
      <alignment horizontal="center"/>
    </xf>
    <xf numFmtId="9" fontId="0" fillId="4" borderId="0" xfId="1" applyFont="1" applyFill="1" applyAlignment="1">
      <alignment horizontal="center"/>
    </xf>
    <xf numFmtId="9" fontId="1" fillId="4" borderId="0" xfId="1" applyFont="1" applyFill="1" applyAlignment="1">
      <alignment horizontal="center"/>
    </xf>
    <xf numFmtId="0" fontId="21" fillId="4" borderId="0" xfId="0" applyFont="1" applyFill="1"/>
    <xf numFmtId="9" fontId="1" fillId="4" borderId="0" xfId="1" applyFont="1" applyFill="1"/>
    <xf numFmtId="0" fontId="22" fillId="4" borderId="0" xfId="0" applyFont="1" applyFill="1"/>
    <xf numFmtId="0" fontId="22" fillId="4" borderId="0" xfId="0" applyFont="1" applyFill="1" applyAlignment="1">
      <alignment horizontal="center"/>
    </xf>
    <xf numFmtId="10" fontId="22" fillId="4" borderId="0" xfId="1" applyNumberFormat="1" applyFont="1" applyFill="1" applyAlignment="1">
      <alignment horizontal="center"/>
    </xf>
    <xf numFmtId="10" fontId="23" fillId="4" borderId="0" xfId="1" applyNumberFormat="1" applyFont="1" applyFill="1" applyAlignment="1">
      <alignment horizontal="center"/>
    </xf>
    <xf numFmtId="9" fontId="23" fillId="4" borderId="0" xfId="0" applyNumberFormat="1" applyFont="1" applyFill="1" applyAlignment="1">
      <alignment horizontal="center"/>
    </xf>
    <xf numFmtId="0" fontId="23" fillId="4" borderId="0" xfId="0" applyFont="1" applyFill="1" applyAlignment="1">
      <alignment horizontal="center"/>
    </xf>
    <xf numFmtId="1" fontId="0" fillId="7" borderId="0" xfId="0" applyNumberFormat="1" applyFill="1" applyAlignment="1">
      <alignment horizontal="center"/>
    </xf>
    <xf numFmtId="9" fontId="2" fillId="7" borderId="0" xfId="1" applyFont="1" applyFill="1" applyBorder="1" applyAlignment="1">
      <alignment horizontal="center"/>
    </xf>
    <xf numFmtId="9" fontId="1" fillId="7" borderId="0" xfId="0" applyNumberFormat="1" applyFont="1" applyFill="1" applyAlignment="1">
      <alignment horizontal="center"/>
    </xf>
    <xf numFmtId="10" fontId="23" fillId="7" borderId="0" xfId="1" applyNumberFormat="1" applyFont="1" applyFill="1" applyAlignment="1">
      <alignment horizontal="center"/>
    </xf>
    <xf numFmtId="0" fontId="5" fillId="5" borderId="1" xfId="0" applyFont="1" applyFill="1" applyBorder="1"/>
    <xf numFmtId="0" fontId="4" fillId="5" borderId="0" xfId="0" applyFont="1" applyFill="1"/>
    <xf numFmtId="9" fontId="2" fillId="6" borderId="0" xfId="1" applyFont="1" applyFill="1" applyBorder="1" applyAlignment="1">
      <alignment horizontal="center"/>
    </xf>
    <xf numFmtId="0" fontId="5" fillId="4" borderId="1" xfId="0" applyFont="1" applyFill="1" applyBorder="1"/>
    <xf numFmtId="0" fontId="1" fillId="4" borderId="1" xfId="0" applyFont="1" applyFill="1" applyBorder="1"/>
    <xf numFmtId="0" fontId="4" fillId="5" borderId="8" xfId="0" applyFont="1" applyFill="1" applyBorder="1"/>
    <xf numFmtId="0" fontId="4" fillId="5" borderId="9" xfId="0" applyFont="1" applyFill="1" applyBorder="1"/>
    <xf numFmtId="0" fontId="28" fillId="6" borderId="6" xfId="0" applyFont="1" applyFill="1" applyBorder="1" applyAlignment="1">
      <alignment vertical="center"/>
    </xf>
    <xf numFmtId="0" fontId="1" fillId="6" borderId="6" xfId="0" applyFont="1" applyFill="1" applyBorder="1"/>
    <xf numFmtId="0" fontId="1" fillId="6" borderId="10" xfId="0" applyFont="1" applyFill="1" applyBorder="1" applyAlignment="1">
      <alignment horizontal="center"/>
    </xf>
    <xf numFmtId="0" fontId="1" fillId="6" borderId="6" xfId="0" applyFont="1" applyFill="1" applyBorder="1" applyAlignment="1">
      <alignment horizontal="center"/>
    </xf>
    <xf numFmtId="1" fontId="1" fillId="6" borderId="11" xfId="0" applyNumberFormat="1" applyFont="1" applyFill="1" applyBorder="1" applyAlignment="1">
      <alignment horizontal="center"/>
    </xf>
    <xf numFmtId="10" fontId="1" fillId="7" borderId="0" xfId="1" applyNumberFormat="1" applyFont="1" applyFill="1" applyAlignment="1">
      <alignment horizontal="center"/>
    </xf>
    <xf numFmtId="0" fontId="60" fillId="6" borderId="0" xfId="0" applyFont="1" applyFill="1" applyAlignment="1">
      <alignment vertical="top"/>
    </xf>
    <xf numFmtId="0" fontId="60" fillId="6" borderId="0" xfId="0" applyFont="1" applyFill="1"/>
    <xf numFmtId="0" fontId="61" fillId="6" borderId="0" xfId="0" applyFont="1" applyFill="1" applyAlignment="1">
      <alignment horizontal="right" vertical="top" wrapText="1"/>
    </xf>
    <xf numFmtId="0" fontId="62" fillId="6" borderId="0" xfId="0" applyFont="1" applyFill="1" applyAlignment="1">
      <alignment vertical="top"/>
    </xf>
    <xf numFmtId="49" fontId="60" fillId="6" borderId="0" xfId="0" applyNumberFormat="1" applyFont="1" applyFill="1" applyAlignment="1">
      <alignment horizontal="left" vertical="top"/>
    </xf>
    <xf numFmtId="0" fontId="61" fillId="6" borderId="0" xfId="0" applyFont="1" applyFill="1" applyAlignment="1">
      <alignment horizontal="left" vertical="top" wrapText="1"/>
    </xf>
    <xf numFmtId="0" fontId="61" fillId="6" borderId="27" xfId="0" applyFont="1" applyFill="1" applyBorder="1" applyAlignment="1">
      <alignment horizontal="left" vertical="top" wrapText="1"/>
    </xf>
    <xf numFmtId="173" fontId="60" fillId="6" borderId="27" xfId="0" applyNumberFormat="1" applyFont="1" applyFill="1" applyBorder="1" applyAlignment="1">
      <alignment horizontal="center" vertical="top"/>
    </xf>
    <xf numFmtId="0" fontId="61" fillId="6" borderId="27" xfId="0" applyFont="1" applyFill="1" applyBorder="1" applyAlignment="1">
      <alignment horizontal="right" vertical="top" wrapText="1"/>
    </xf>
    <xf numFmtId="0" fontId="61" fillId="6" borderId="28" xfId="0" applyFont="1" applyFill="1" applyBorder="1" applyAlignment="1">
      <alignment horizontal="left" vertical="top" wrapText="1"/>
    </xf>
    <xf numFmtId="0" fontId="61" fillId="6" borderId="29" xfId="0" applyFont="1" applyFill="1" applyBorder="1" applyAlignment="1">
      <alignment horizontal="right" vertical="top" wrapText="1"/>
    </xf>
    <xf numFmtId="173" fontId="60" fillId="6" borderId="27" xfId="0" applyNumberFormat="1" applyFont="1" applyFill="1" applyBorder="1" applyAlignment="1">
      <alignment horizontal="left" vertical="top"/>
    </xf>
    <xf numFmtId="0" fontId="60" fillId="6" borderId="27" xfId="0" applyFont="1" applyFill="1" applyBorder="1" applyAlignment="1">
      <alignment horizontal="center" vertical="top" wrapText="1"/>
    </xf>
    <xf numFmtId="165" fontId="62" fillId="6" borderId="27" xfId="0" applyNumberFormat="1" applyFont="1" applyFill="1" applyBorder="1" applyAlignment="1">
      <alignment horizontal="right" vertical="top"/>
    </xf>
    <xf numFmtId="173" fontId="60" fillId="6" borderId="28" xfId="0" applyNumberFormat="1" applyFont="1" applyFill="1" applyBorder="1" applyAlignment="1">
      <alignment horizontal="left" vertical="top" wrapText="1"/>
    </xf>
    <xf numFmtId="165" fontId="62" fillId="6" borderId="27" xfId="0" applyNumberFormat="1" applyFont="1" applyFill="1" applyBorder="1" applyAlignment="1">
      <alignment vertical="top"/>
    </xf>
    <xf numFmtId="165" fontId="62" fillId="6" borderId="1" xfId="0" applyNumberFormat="1" applyFont="1" applyFill="1" applyBorder="1" applyAlignment="1">
      <alignment horizontal="right" vertical="top"/>
    </xf>
    <xf numFmtId="173" fontId="60" fillId="6" borderId="27" xfId="0" applyNumberFormat="1" applyFont="1" applyFill="1" applyBorder="1" applyAlignment="1">
      <alignment horizontal="left" vertical="top" wrapText="1"/>
    </xf>
    <xf numFmtId="174" fontId="60" fillId="6" borderId="27" xfId="0" applyNumberFormat="1" applyFont="1" applyFill="1" applyBorder="1" applyAlignment="1">
      <alignment horizontal="center" vertical="top" wrapText="1"/>
    </xf>
    <xf numFmtId="10" fontId="62" fillId="6" borderId="27" xfId="0" applyNumberFormat="1" applyFont="1" applyFill="1" applyBorder="1" applyAlignment="1">
      <alignment horizontal="right" vertical="top" wrapText="1"/>
    </xf>
    <xf numFmtId="173" fontId="60" fillId="6" borderId="0" xfId="0" applyNumberFormat="1" applyFont="1" applyFill="1" applyAlignment="1">
      <alignment horizontal="left" vertical="top"/>
    </xf>
    <xf numFmtId="0" fontId="60" fillId="6" borderId="0" xfId="0" applyFont="1" applyFill="1" applyAlignment="1">
      <alignment horizontal="center" vertical="top" wrapText="1"/>
    </xf>
    <xf numFmtId="165" fontId="62" fillId="6" borderId="0" xfId="0" applyNumberFormat="1" applyFont="1" applyFill="1" applyAlignment="1">
      <alignment horizontal="right" vertical="top"/>
    </xf>
    <xf numFmtId="173" fontId="60" fillId="6" borderId="2" xfId="0" applyNumberFormat="1" applyFont="1" applyFill="1" applyBorder="1" applyAlignment="1">
      <alignment horizontal="left" vertical="top" wrapText="1"/>
    </xf>
    <xf numFmtId="165" fontId="62" fillId="6" borderId="0" xfId="0" applyNumberFormat="1" applyFont="1" applyFill="1" applyAlignment="1">
      <alignment vertical="top"/>
    </xf>
    <xf numFmtId="0" fontId="60" fillId="6" borderId="0" xfId="0" applyFont="1" applyFill="1" applyAlignment="1">
      <alignment horizontal="left" vertical="top"/>
    </xf>
    <xf numFmtId="173" fontId="60" fillId="6" borderId="0" xfId="0" applyNumberFormat="1" applyFont="1" applyFill="1" applyAlignment="1">
      <alignment horizontal="left" vertical="top" wrapText="1"/>
    </xf>
    <xf numFmtId="173" fontId="60" fillId="6" borderId="0" xfId="0" applyNumberFormat="1" applyFont="1" applyFill="1" applyAlignment="1">
      <alignment horizontal="center" vertical="top" wrapText="1"/>
    </xf>
    <xf numFmtId="43" fontId="60" fillId="6" borderId="0" xfId="0" applyNumberFormat="1" applyFont="1" applyFill="1" applyAlignment="1">
      <alignment vertical="top"/>
    </xf>
    <xf numFmtId="165" fontId="62" fillId="6" borderId="30" xfId="0" applyNumberFormat="1" applyFont="1" applyFill="1" applyBorder="1" applyAlignment="1">
      <alignment horizontal="right" vertical="top"/>
    </xf>
    <xf numFmtId="175" fontId="62" fillId="6" borderId="0" xfId="0" applyNumberFormat="1" applyFont="1" applyFill="1" applyAlignment="1">
      <alignment horizontal="right" vertical="top"/>
    </xf>
    <xf numFmtId="165" fontId="60" fillId="6" borderId="0" xfId="0" applyNumberFormat="1" applyFont="1" applyFill="1" applyAlignment="1">
      <alignment vertical="top"/>
    </xf>
    <xf numFmtId="176" fontId="60" fillId="6" borderId="0" xfId="0" applyNumberFormat="1" applyFont="1" applyFill="1" applyAlignment="1">
      <alignment vertical="top"/>
    </xf>
    <xf numFmtId="0" fontId="63" fillId="6" borderId="0" xfId="0" applyFont="1" applyFill="1" applyAlignment="1">
      <alignment horizontal="left" vertical="top" wrapText="1"/>
    </xf>
    <xf numFmtId="9" fontId="60" fillId="6" borderId="0" xfId="0" applyNumberFormat="1" applyFont="1" applyFill="1" applyAlignment="1">
      <alignment vertical="top"/>
    </xf>
    <xf numFmtId="0" fontId="61" fillId="6" borderId="0" xfId="0" applyFont="1" applyFill="1" applyAlignment="1">
      <alignment vertical="top"/>
    </xf>
    <xf numFmtId="0" fontId="61" fillId="6" borderId="0" xfId="0" applyFont="1" applyFill="1" applyAlignment="1">
      <alignment vertical="top" wrapText="1"/>
    </xf>
    <xf numFmtId="0" fontId="61" fillId="6" borderId="27" xfId="0" applyFont="1" applyFill="1" applyBorder="1" applyAlignment="1">
      <alignment vertical="top"/>
    </xf>
    <xf numFmtId="177" fontId="60" fillId="6" borderId="0" xfId="0" applyNumberFormat="1" applyFont="1" applyFill="1" applyAlignment="1">
      <alignment vertical="top"/>
    </xf>
    <xf numFmtId="43" fontId="60" fillId="6" borderId="6" xfId="0" applyNumberFormat="1" applyFont="1" applyFill="1" applyBorder="1" applyAlignment="1">
      <alignment vertical="top"/>
    </xf>
    <xf numFmtId="0" fontId="60" fillId="6" borderId="27" xfId="0" applyFont="1" applyFill="1" applyBorder="1" applyAlignment="1">
      <alignment vertical="top"/>
    </xf>
    <xf numFmtId="165" fontId="60" fillId="6" borderId="27" xfId="0" applyNumberFormat="1" applyFont="1" applyFill="1" applyBorder="1" applyAlignment="1">
      <alignment vertical="top"/>
    </xf>
    <xf numFmtId="43" fontId="61" fillId="6" borderId="0" xfId="0" applyNumberFormat="1" applyFont="1" applyFill="1" applyAlignment="1">
      <alignment vertical="top"/>
    </xf>
    <xf numFmtId="165" fontId="60" fillId="6" borderId="0" xfId="0" applyNumberFormat="1" applyFont="1" applyFill="1" applyAlignment="1">
      <alignment horizontal="right" vertical="top"/>
    </xf>
    <xf numFmtId="178" fontId="60" fillId="6" borderId="0" xfId="0" applyNumberFormat="1" applyFont="1" applyFill="1" applyAlignment="1">
      <alignment horizontal="left" vertical="top"/>
    </xf>
    <xf numFmtId="17" fontId="60" fillId="6" borderId="0" xfId="0" applyNumberFormat="1" applyFont="1" applyFill="1" applyAlignment="1">
      <alignment horizontal="left" vertical="top"/>
    </xf>
    <xf numFmtId="0" fontId="61" fillId="8" borderId="0" xfId="0" applyFont="1" applyFill="1" applyAlignment="1">
      <alignment vertical="top"/>
    </xf>
    <xf numFmtId="0" fontId="61" fillId="8" borderId="27" xfId="0" applyFont="1" applyFill="1" applyBorder="1" applyAlignment="1">
      <alignment horizontal="center" vertical="top" wrapText="1"/>
    </xf>
    <xf numFmtId="0" fontId="60" fillId="8" borderId="0" xfId="0" applyFont="1" applyFill="1" applyAlignment="1">
      <alignment vertical="top"/>
    </xf>
    <xf numFmtId="169" fontId="0" fillId="9" borderId="0" xfId="3" applyNumberFormat="1" applyFont="1" applyFill="1" applyAlignment="1">
      <alignment horizontal="center"/>
    </xf>
    <xf numFmtId="164" fontId="1" fillId="6" borderId="0" xfId="0" applyNumberFormat="1" applyFont="1" applyFill="1"/>
    <xf numFmtId="180" fontId="2" fillId="7" borderId="0" xfId="3" applyNumberFormat="1" applyFont="1" applyFill="1" applyAlignment="1">
      <alignment horizontal="center"/>
    </xf>
    <xf numFmtId="3" fontId="0" fillId="6" borderId="0" xfId="0" applyNumberFormat="1" applyFill="1"/>
    <xf numFmtId="0" fontId="60" fillId="6" borderId="0" xfId="0" applyFont="1" applyFill="1" applyAlignment="1">
      <alignment horizontal="center" vertical="top"/>
    </xf>
    <xf numFmtId="10" fontId="1" fillId="6" borderId="0" xfId="0" applyNumberFormat="1" applyFont="1" applyFill="1"/>
    <xf numFmtId="9" fontId="2" fillId="6" borderId="0" xfId="3" applyNumberFormat="1" applyFont="1" applyFill="1" applyAlignment="1">
      <alignment horizontal="center"/>
    </xf>
    <xf numFmtId="9" fontId="2" fillId="7" borderId="0" xfId="3" applyNumberFormat="1" applyFont="1" applyFill="1" applyAlignment="1">
      <alignment horizontal="center"/>
    </xf>
    <xf numFmtId="164" fontId="20" fillId="6" borderId="0" xfId="3" applyNumberFormat="1" applyFont="1" applyFill="1" applyAlignment="1">
      <alignment horizontal="center"/>
    </xf>
    <xf numFmtId="9" fontId="20" fillId="7" borderId="0" xfId="1" applyFont="1" applyFill="1" applyAlignment="1">
      <alignment horizontal="center"/>
    </xf>
    <xf numFmtId="9" fontId="37" fillId="7" borderId="0" xfId="1" applyFont="1" applyFill="1" applyAlignment="1">
      <alignment horizontal="center"/>
    </xf>
    <xf numFmtId="9" fontId="37" fillId="6" borderId="0" xfId="1" applyFont="1" applyFill="1" applyAlignment="1">
      <alignment horizontal="center"/>
    </xf>
    <xf numFmtId="0" fontId="64" fillId="6" borderId="0" xfId="0" applyFont="1" applyFill="1"/>
    <xf numFmtId="0" fontId="60" fillId="6" borderId="0" xfId="0" applyFont="1" applyFill="1" applyAlignment="1">
      <alignment horizontal="center" vertical="center"/>
    </xf>
    <xf numFmtId="0" fontId="61" fillId="6" borderId="0" xfId="0" applyFont="1" applyFill="1" applyAlignment="1">
      <alignment horizontal="center" vertical="top" wrapText="1"/>
    </xf>
    <xf numFmtId="0" fontId="0" fillId="6" borderId="0" xfId="0" applyFill="1" applyAlignment="1">
      <alignment horizontal="center" vertical="top"/>
    </xf>
    <xf numFmtId="0" fontId="0" fillId="6" borderId="0" xfId="0" applyFill="1" applyAlignment="1">
      <alignment horizontal="center" vertical="center"/>
    </xf>
    <xf numFmtId="0" fontId="61" fillId="6" borderId="27" xfId="0" applyFont="1" applyFill="1" applyBorder="1" applyAlignment="1">
      <alignment horizontal="center" vertical="top"/>
    </xf>
    <xf numFmtId="165" fontId="60" fillId="6" borderId="6" xfId="0" applyNumberFormat="1" applyFont="1" applyFill="1" applyBorder="1" applyAlignment="1">
      <alignment horizontal="center" vertical="top"/>
    </xf>
    <xf numFmtId="173" fontId="60" fillId="6" borderId="0" xfId="0" applyNumberFormat="1" applyFont="1" applyFill="1" applyAlignment="1">
      <alignment horizontal="center"/>
    </xf>
    <xf numFmtId="173" fontId="0" fillId="6" borderId="0" xfId="0" applyNumberFormat="1" applyFill="1" applyAlignment="1">
      <alignment horizontal="center"/>
    </xf>
    <xf numFmtId="173" fontId="60" fillId="6" borderId="0" xfId="0" applyNumberFormat="1" applyFont="1" applyFill="1" applyAlignment="1">
      <alignment horizontal="center" vertical="top"/>
    </xf>
    <xf numFmtId="173" fontId="0" fillId="6" borderId="0" xfId="0" applyNumberFormat="1" applyFill="1" applyAlignment="1">
      <alignment horizontal="center" vertical="top"/>
    </xf>
    <xf numFmtId="173" fontId="60" fillId="6" borderId="0" xfId="3" applyNumberFormat="1" applyFont="1" applyFill="1" applyAlignment="1">
      <alignment horizontal="center" vertical="top"/>
    </xf>
    <xf numFmtId="182" fontId="0" fillId="6" borderId="0" xfId="0" applyNumberFormat="1" applyFill="1" applyAlignment="1">
      <alignment horizontal="center"/>
    </xf>
    <xf numFmtId="182" fontId="60" fillId="6" borderId="0" xfId="0" applyNumberFormat="1" applyFont="1" applyFill="1" applyAlignment="1">
      <alignment horizontal="center" vertical="top"/>
    </xf>
    <xf numFmtId="0" fontId="65" fillId="8" borderId="0" xfId="0" applyFont="1" applyFill="1" applyAlignment="1">
      <alignment horizontal="center" vertical="top"/>
    </xf>
    <xf numFmtId="0" fontId="65" fillId="8" borderId="0" xfId="0" applyFont="1" applyFill="1" applyAlignment="1">
      <alignment vertical="top"/>
    </xf>
    <xf numFmtId="0" fontId="61" fillId="4" borderId="0" xfId="0" applyFont="1" applyFill="1" applyAlignment="1">
      <alignment vertical="top"/>
    </xf>
    <xf numFmtId="0" fontId="61" fillId="4" borderId="0" xfId="0" applyFont="1" applyFill="1"/>
    <xf numFmtId="0" fontId="61" fillId="4" borderId="0" xfId="0" applyFont="1" applyFill="1" applyAlignment="1">
      <alignment wrapText="1"/>
    </xf>
    <xf numFmtId="0" fontId="0" fillId="4" borderId="0" xfId="0" applyFill="1" applyAlignment="1">
      <alignment horizontal="center" vertical="top"/>
    </xf>
    <xf numFmtId="173" fontId="60" fillId="4" borderId="0" xfId="0" applyNumberFormat="1" applyFont="1" applyFill="1" applyAlignment="1">
      <alignment horizontal="center" vertical="top"/>
    </xf>
    <xf numFmtId="182" fontId="60" fillId="4" borderId="0" xfId="0" applyNumberFormat="1" applyFont="1" applyFill="1" applyAlignment="1">
      <alignment horizontal="center" vertical="top"/>
    </xf>
    <xf numFmtId="0" fontId="66" fillId="6" borderId="0" xfId="0" applyFont="1" applyFill="1" applyAlignment="1">
      <alignment vertical="top"/>
    </xf>
    <xf numFmtId="10" fontId="0" fillId="6" borderId="6" xfId="0" applyNumberFormat="1" applyFill="1" applyBorder="1" applyAlignment="1">
      <alignment horizontal="center"/>
    </xf>
    <xf numFmtId="43" fontId="60" fillId="6" borderId="6" xfId="0" applyNumberFormat="1" applyFont="1" applyFill="1" applyBorder="1" applyAlignment="1">
      <alignment horizontal="center" vertical="top"/>
    </xf>
    <xf numFmtId="0" fontId="61" fillId="6" borderId="27" xfId="0" applyFont="1" applyFill="1" applyBorder="1" applyAlignment="1">
      <alignment horizontal="center" vertical="top" wrapText="1"/>
    </xf>
    <xf numFmtId="0" fontId="60" fillId="6" borderId="27" xfId="0" applyFont="1" applyFill="1" applyBorder="1" applyAlignment="1">
      <alignment horizontal="center" vertical="top"/>
    </xf>
    <xf numFmtId="173" fontId="65" fillId="4" borderId="31" xfId="0" applyNumberFormat="1" applyFont="1" applyFill="1" applyBorder="1" applyAlignment="1">
      <alignment horizontal="left" vertical="top" wrapText="1"/>
    </xf>
    <xf numFmtId="0" fontId="65" fillId="4" borderId="32" xfId="0" applyFont="1" applyFill="1" applyBorder="1" applyAlignment="1">
      <alignment vertical="top"/>
    </xf>
    <xf numFmtId="0" fontId="20" fillId="6" borderId="0" xfId="0" applyFont="1" applyFill="1"/>
    <xf numFmtId="0" fontId="1" fillId="6" borderId="13" xfId="0" applyFont="1" applyFill="1" applyBorder="1"/>
    <xf numFmtId="167" fontId="1" fillId="6" borderId="13" xfId="0" applyNumberFormat="1" applyFont="1" applyFill="1" applyBorder="1" applyAlignment="1">
      <alignment horizontal="center"/>
    </xf>
    <xf numFmtId="167" fontId="0" fillId="6" borderId="13" xfId="0" applyNumberFormat="1" applyFill="1" applyBorder="1" applyAlignment="1">
      <alignment horizontal="center"/>
    </xf>
    <xf numFmtId="10" fontId="31" fillId="11" borderId="0" xfId="1" applyNumberFormat="1" applyFont="1" applyFill="1" applyAlignment="1">
      <alignment horizontal="center"/>
    </xf>
    <xf numFmtId="0" fontId="68" fillId="6" borderId="0" xfId="0" applyFont="1" applyFill="1"/>
    <xf numFmtId="0" fontId="0" fillId="6" borderId="0" xfId="0" applyFill="1" applyAlignment="1">
      <alignment horizontal="center" wrapText="1"/>
    </xf>
    <xf numFmtId="15" fontId="0" fillId="6" borderId="0" xfId="0" applyNumberFormat="1" applyFill="1" applyAlignment="1">
      <alignment horizontal="center"/>
    </xf>
    <xf numFmtId="183" fontId="0" fillId="6" borderId="0" xfId="0" applyNumberFormat="1" applyFill="1" applyAlignment="1">
      <alignment horizontal="center"/>
    </xf>
    <xf numFmtId="184" fontId="0" fillId="6" borderId="0" xfId="0" applyNumberFormat="1" applyFill="1" applyAlignment="1">
      <alignment horizontal="center"/>
    </xf>
    <xf numFmtId="0" fontId="1" fillId="6" borderId="8" xfId="0" applyFont="1" applyFill="1" applyBorder="1"/>
    <xf numFmtId="173" fontId="1" fillId="6" borderId="8" xfId="0" applyNumberFormat="1" applyFont="1" applyFill="1" applyBorder="1" applyAlignment="1">
      <alignment horizontal="center"/>
    </xf>
    <xf numFmtId="173" fontId="1" fillId="6" borderId="5" xfId="0" applyNumberFormat="1" applyFont="1" applyFill="1" applyBorder="1" applyAlignment="1">
      <alignment horizontal="center"/>
    </xf>
    <xf numFmtId="0" fontId="1" fillId="6" borderId="4" xfId="0" applyFont="1" applyFill="1" applyBorder="1" applyAlignment="1">
      <alignment horizontal="center"/>
    </xf>
    <xf numFmtId="0" fontId="1" fillId="12" borderId="15" xfId="0" applyFont="1" applyFill="1" applyBorder="1"/>
    <xf numFmtId="0" fontId="1" fillId="12" borderId="16" xfId="0" applyFont="1" applyFill="1" applyBorder="1"/>
    <xf numFmtId="0" fontId="1" fillId="12" borderId="16" xfId="0" applyFont="1" applyFill="1" applyBorder="1" applyAlignment="1">
      <alignment horizontal="center"/>
    </xf>
    <xf numFmtId="0" fontId="24" fillId="4" borderId="0" xfId="0" applyFont="1" applyFill="1"/>
    <xf numFmtId="0" fontId="24" fillId="4" borderId="0" xfId="0" applyFont="1" applyFill="1" applyAlignment="1">
      <alignment horizontal="center"/>
    </xf>
    <xf numFmtId="10" fontId="24" fillId="4" borderId="0" xfId="0" applyNumberFormat="1" applyFont="1" applyFill="1" applyAlignment="1">
      <alignment horizontal="center"/>
    </xf>
    <xf numFmtId="167" fontId="1" fillId="6" borderId="4" xfId="3" applyNumberFormat="1" applyFont="1" applyFill="1" applyBorder="1"/>
    <xf numFmtId="9" fontId="0" fillId="6" borderId="13" xfId="1" applyFont="1" applyFill="1" applyBorder="1" applyAlignment="1">
      <alignment horizontal="center"/>
    </xf>
    <xf numFmtId="2" fontId="0" fillId="6" borderId="1" xfId="1" applyNumberFormat="1" applyFont="1" applyFill="1" applyBorder="1" applyAlignment="1">
      <alignment horizontal="center"/>
    </xf>
    <xf numFmtId="2" fontId="0" fillId="6" borderId="11" xfId="1" applyNumberFormat="1" applyFont="1" applyFill="1" applyBorder="1" applyAlignment="1">
      <alignment horizontal="center"/>
    </xf>
    <xf numFmtId="0" fontId="0" fillId="6" borderId="11" xfId="0" applyFill="1" applyBorder="1" applyAlignment="1">
      <alignment horizontal="center"/>
    </xf>
    <xf numFmtId="181" fontId="0" fillId="6" borderId="14" xfId="0" applyNumberFormat="1" applyFill="1" applyBorder="1"/>
    <xf numFmtId="179" fontId="0" fillId="6" borderId="14" xfId="0" applyNumberFormat="1" applyFill="1" applyBorder="1"/>
    <xf numFmtId="0" fontId="0" fillId="13" borderId="0" xfId="0" applyFill="1"/>
    <xf numFmtId="173" fontId="1" fillId="12" borderId="14" xfId="0" applyNumberFormat="1" applyFont="1" applyFill="1" applyBorder="1" applyAlignment="1">
      <alignment horizontal="center"/>
    </xf>
    <xf numFmtId="9" fontId="32" fillId="3" borderId="0" xfId="1" applyFont="1" applyFill="1" applyBorder="1" applyAlignment="1">
      <alignment horizontal="center"/>
    </xf>
    <xf numFmtId="0" fontId="61" fillId="8" borderId="27" xfId="0" applyFont="1" applyFill="1" applyBorder="1" applyAlignment="1">
      <alignment horizontal="center" vertical="center" wrapText="1"/>
    </xf>
    <xf numFmtId="0" fontId="61" fillId="8" borderId="27" xfId="0" applyFont="1" applyFill="1" applyBorder="1" applyAlignment="1">
      <alignment horizontal="left" vertical="center" wrapText="1"/>
    </xf>
    <xf numFmtId="177" fontId="60" fillId="6" borderId="6" xfId="0" applyNumberFormat="1" applyFont="1" applyFill="1" applyBorder="1" applyAlignment="1">
      <alignment horizontal="center" vertical="top"/>
    </xf>
    <xf numFmtId="0" fontId="1" fillId="6" borderId="1" xfId="0" applyFont="1" applyFill="1" applyBorder="1"/>
    <xf numFmtId="1" fontId="1" fillId="6" borderId="1" xfId="0" applyNumberFormat="1" applyFont="1" applyFill="1" applyBorder="1" applyAlignment="1">
      <alignment horizontal="center"/>
    </xf>
    <xf numFmtId="0" fontId="2" fillId="4" borderId="0" xfId="0" applyFont="1" applyFill="1"/>
    <xf numFmtId="0" fontId="1" fillId="6" borderId="11" xfId="0" applyFont="1" applyFill="1" applyBorder="1" applyAlignment="1">
      <alignment horizontal="center"/>
    </xf>
    <xf numFmtId="10" fontId="0" fillId="2" borderId="14" xfId="1" applyNumberFormat="1" applyFont="1" applyFill="1" applyBorder="1"/>
    <xf numFmtId="179" fontId="0" fillId="14" borderId="14" xfId="0" applyNumberFormat="1" applyFill="1" applyBorder="1"/>
    <xf numFmtId="181" fontId="0" fillId="14" borderId="14" xfId="0" applyNumberFormat="1" applyFill="1" applyBorder="1"/>
    <xf numFmtId="10" fontId="0" fillId="2" borderId="14" xfId="1" applyNumberFormat="1" applyFont="1" applyFill="1" applyBorder="1" applyAlignment="1">
      <alignment horizontal="center"/>
    </xf>
    <xf numFmtId="185" fontId="0" fillId="2" borderId="14" xfId="0" applyNumberFormat="1" applyFill="1" applyBorder="1" applyAlignment="1">
      <alignment horizontal="center"/>
    </xf>
    <xf numFmtId="0" fontId="3" fillId="6" borderId="0" xfId="0" applyFont="1" applyFill="1" applyAlignment="1">
      <alignment horizontal="center"/>
    </xf>
    <xf numFmtId="10" fontId="67" fillId="4" borderId="29" xfId="0" applyNumberFormat="1" applyFont="1" applyFill="1" applyBorder="1" applyAlignment="1">
      <alignment horizontal="right" vertical="top"/>
    </xf>
    <xf numFmtId="165" fontId="0" fillId="6" borderId="0" xfId="0" applyNumberFormat="1" applyFill="1"/>
    <xf numFmtId="165" fontId="0" fillId="4" borderId="0" xfId="0" applyNumberFormat="1" applyFill="1"/>
    <xf numFmtId="165" fontId="60" fillId="4" borderId="0" xfId="0" applyNumberFormat="1" applyFont="1" applyFill="1" applyAlignment="1">
      <alignment vertical="top"/>
    </xf>
    <xf numFmtId="165" fontId="0" fillId="6" borderId="0" xfId="1" applyNumberFormat="1" applyFont="1" applyFill="1"/>
    <xf numFmtId="0" fontId="0" fillId="15" borderId="0" xfId="0" applyFill="1"/>
    <xf numFmtId="0" fontId="0" fillId="15" borderId="0" xfId="0" applyFill="1" applyAlignment="1">
      <alignment horizontal="center"/>
    </xf>
    <xf numFmtId="0" fontId="47" fillId="15" borderId="0" xfId="0" applyFont="1" applyFill="1" applyAlignment="1">
      <alignment horizontal="left" vertical="top"/>
    </xf>
    <xf numFmtId="0" fontId="0" fillId="15" borderId="0" xfId="0" applyFill="1" applyAlignment="1">
      <alignment horizontal="left"/>
    </xf>
    <xf numFmtId="9" fontId="0" fillId="15" borderId="0" xfId="1" applyFont="1" applyFill="1" applyAlignment="1">
      <alignment horizontal="center"/>
    </xf>
    <xf numFmtId="9" fontId="0" fillId="15" borderId="0" xfId="0" applyNumberFormat="1" applyFill="1" applyAlignment="1">
      <alignment horizontal="center"/>
    </xf>
    <xf numFmtId="0" fontId="2" fillId="15" borderId="0" xfId="0" applyFont="1" applyFill="1"/>
    <xf numFmtId="9" fontId="2" fillId="15" borderId="0" xfId="1" applyFont="1" applyFill="1" applyAlignment="1">
      <alignment horizontal="center"/>
    </xf>
    <xf numFmtId="0" fontId="1" fillId="15" borderId="6" xfId="0" applyFont="1" applyFill="1" applyBorder="1"/>
    <xf numFmtId="0" fontId="0" fillId="15" borderId="6" xfId="0" applyFill="1" applyBorder="1"/>
    <xf numFmtId="0" fontId="0" fillId="15" borderId="6" xfId="0" applyFill="1" applyBorder="1" applyAlignment="1">
      <alignment horizontal="center"/>
    </xf>
    <xf numFmtId="0" fontId="2" fillId="15" borderId="6" xfId="0" applyFont="1" applyFill="1" applyBorder="1"/>
    <xf numFmtId="9" fontId="2" fillId="15" borderId="6" xfId="1" applyFont="1" applyFill="1" applyBorder="1" applyAlignment="1">
      <alignment horizontal="center"/>
    </xf>
    <xf numFmtId="9" fontId="0" fillId="15" borderId="6" xfId="1" applyFont="1" applyFill="1" applyBorder="1" applyAlignment="1">
      <alignment horizontal="center"/>
    </xf>
    <xf numFmtId="0" fontId="32" fillId="15" borderId="6" xfId="0" applyFont="1" applyFill="1" applyBorder="1"/>
    <xf numFmtId="185" fontId="0" fillId="15" borderId="0" xfId="0" applyNumberFormat="1" applyFill="1" applyAlignment="1">
      <alignment horizontal="center"/>
    </xf>
    <xf numFmtId="167" fontId="0" fillId="15" borderId="0" xfId="0" applyNumberFormat="1" applyFill="1" applyAlignment="1">
      <alignment horizontal="center"/>
    </xf>
    <xf numFmtId="2" fontId="0" fillId="15" borderId="6" xfId="0" applyNumberFormat="1" applyFill="1" applyBorder="1" applyAlignment="1">
      <alignment horizontal="center"/>
    </xf>
    <xf numFmtId="0" fontId="0" fillId="14" borderId="0" xfId="0" applyFill="1"/>
    <xf numFmtId="0" fontId="45" fillId="15" borderId="0" xfId="0" applyFont="1" applyFill="1"/>
    <xf numFmtId="183" fontId="1" fillId="15" borderId="0" xfId="3" applyNumberFormat="1" applyFont="1" applyFill="1"/>
    <xf numFmtId="185" fontId="0" fillId="15" borderId="0" xfId="0" applyNumberFormat="1" applyFill="1"/>
    <xf numFmtId="165" fontId="0" fillId="6" borderId="0" xfId="0" applyNumberFormat="1" applyFill="1" applyAlignment="1">
      <alignment horizontal="center"/>
    </xf>
    <xf numFmtId="9" fontId="1" fillId="6" borderId="0" xfId="0" applyNumberFormat="1" applyFont="1" applyFill="1" applyAlignment="1">
      <alignment horizontal="center"/>
    </xf>
    <xf numFmtId="170" fontId="0" fillId="6" borderId="0" xfId="3" applyNumberFormat="1" applyFont="1" applyFill="1" applyAlignment="1">
      <alignment horizontal="center"/>
    </xf>
    <xf numFmtId="0" fontId="32" fillId="3" borderId="0" xfId="0" applyFont="1" applyFill="1"/>
    <xf numFmtId="167" fontId="3" fillId="6" borderId="0" xfId="0" applyNumberFormat="1" applyFont="1" applyFill="1" applyAlignment="1">
      <alignment horizontal="left"/>
    </xf>
    <xf numFmtId="167" fontId="3" fillId="6" borderId="0" xfId="0" applyNumberFormat="1" applyFont="1" applyFill="1" applyAlignment="1">
      <alignment horizontal="center"/>
    </xf>
    <xf numFmtId="0" fontId="3" fillId="6" borderId="0" xfId="0" applyFont="1" applyFill="1"/>
    <xf numFmtId="181" fontId="3" fillId="14" borderId="14" xfId="0" applyNumberFormat="1" applyFont="1" applyFill="1" applyBorder="1"/>
    <xf numFmtId="179" fontId="3" fillId="14" borderId="14" xfId="0" applyNumberFormat="1" applyFont="1" applyFill="1" applyBorder="1"/>
    <xf numFmtId="179" fontId="0" fillId="6" borderId="0" xfId="0" applyNumberFormat="1" applyFill="1" applyAlignment="1">
      <alignment horizontal="center"/>
    </xf>
    <xf numFmtId="14" fontId="0" fillId="4" borderId="0" xfId="0" applyNumberFormat="1" applyFill="1" applyAlignment="1">
      <alignment horizontal="center"/>
    </xf>
    <xf numFmtId="14" fontId="0" fillId="6" borderId="0" xfId="0" applyNumberFormat="1" applyFill="1" applyAlignment="1">
      <alignment horizontal="center"/>
    </xf>
    <xf numFmtId="14" fontId="5" fillId="5" borderId="0" xfId="0" applyNumberFormat="1" applyFont="1" applyFill="1" applyAlignment="1">
      <alignment horizontal="center"/>
    </xf>
    <xf numFmtId="14" fontId="0" fillId="6" borderId="0" xfId="0" applyNumberFormat="1" applyFill="1"/>
    <xf numFmtId="14" fontId="0" fillId="7" borderId="0" xfId="1" applyNumberFormat="1" applyFont="1" applyFill="1" applyAlignment="1">
      <alignment horizontal="center"/>
    </xf>
    <xf numFmtId="14" fontId="5" fillId="4" borderId="0" xfId="0" applyNumberFormat="1" applyFont="1" applyFill="1" applyAlignment="1">
      <alignment horizontal="center"/>
    </xf>
    <xf numFmtId="165" fontId="60" fillId="6" borderId="27" xfId="0" applyNumberFormat="1" applyFont="1" applyFill="1" applyBorder="1" applyAlignment="1">
      <alignment horizontal="center" vertical="top"/>
    </xf>
    <xf numFmtId="1" fontId="3" fillId="6" borderId="0" xfId="0" applyNumberFormat="1" applyFont="1" applyFill="1" applyAlignment="1">
      <alignment horizontal="center"/>
    </xf>
    <xf numFmtId="0" fontId="56" fillId="4" borderId="0" xfId="0" applyFont="1" applyFill="1" applyAlignment="1">
      <alignment horizontal="center"/>
    </xf>
    <xf numFmtId="0" fontId="4" fillId="5" borderId="2" xfId="0" applyFont="1" applyFill="1" applyBorder="1" applyAlignment="1">
      <alignment horizontal="center"/>
    </xf>
    <xf numFmtId="0" fontId="4" fillId="5" borderId="0" xfId="0" applyFont="1" applyFill="1" applyAlignment="1">
      <alignment horizontal="center"/>
    </xf>
    <xf numFmtId="0" fontId="4" fillId="5" borderId="1" xfId="0" applyFont="1" applyFill="1" applyBorder="1" applyAlignment="1">
      <alignment horizontal="center"/>
    </xf>
    <xf numFmtId="0" fontId="1" fillId="6" borderId="2" xfId="0" applyFont="1" applyFill="1" applyBorder="1" applyAlignment="1">
      <alignment horizontal="center"/>
    </xf>
    <xf numFmtId="0" fontId="1" fillId="6" borderId="0" xfId="0" applyFont="1" applyFill="1" applyAlignment="1">
      <alignment horizontal="center"/>
    </xf>
    <xf numFmtId="0" fontId="1" fillId="6" borderId="1" xfId="0" applyFont="1" applyFill="1" applyBorder="1" applyAlignment="1">
      <alignment horizontal="center"/>
    </xf>
    <xf numFmtId="0" fontId="4" fillId="5" borderId="7" xfId="0" applyFont="1" applyFill="1" applyBorder="1" applyAlignment="1">
      <alignment horizontal="center"/>
    </xf>
    <xf numFmtId="0" fontId="4" fillId="5" borderId="8" xfId="0" applyFont="1" applyFill="1" applyBorder="1" applyAlignment="1">
      <alignment horizontal="center"/>
    </xf>
    <xf numFmtId="0" fontId="4" fillId="5" borderId="9" xfId="0" applyFont="1" applyFill="1" applyBorder="1" applyAlignment="1">
      <alignment horizontal="center"/>
    </xf>
    <xf numFmtId="0" fontId="4" fillId="6" borderId="0" xfId="0" applyFont="1" applyFill="1" applyAlignment="1">
      <alignment horizontal="center"/>
    </xf>
    <xf numFmtId="0" fontId="4" fillId="6" borderId="1" xfId="0" applyFont="1" applyFill="1" applyBorder="1" applyAlignment="1">
      <alignment horizontal="center"/>
    </xf>
    <xf numFmtId="0" fontId="12" fillId="6" borderId="0" xfId="2" applyFill="1" applyAlignment="1">
      <alignment horizontal="center"/>
    </xf>
    <xf numFmtId="0" fontId="41" fillId="6" borderId="0" xfId="2" applyFont="1" applyFill="1" applyAlignment="1">
      <alignment horizontal="center"/>
    </xf>
    <xf numFmtId="0" fontId="3" fillId="6" borderId="0" xfId="0" applyFont="1" applyFill="1" applyAlignment="1">
      <alignment horizontal="center"/>
    </xf>
    <xf numFmtId="10" fontId="23" fillId="4" borderId="0" xfId="1" applyNumberFormat="1" applyFont="1" applyFill="1" applyAlignment="1">
      <alignment horizontal="center"/>
    </xf>
    <xf numFmtId="0" fontId="1" fillId="6" borderId="10" xfId="0" applyFont="1" applyFill="1" applyBorder="1" applyAlignment="1">
      <alignment horizontal="center"/>
    </xf>
    <xf numFmtId="0" fontId="1" fillId="6" borderId="6" xfId="0" applyFont="1" applyFill="1" applyBorder="1" applyAlignment="1">
      <alignment horizontal="center"/>
    </xf>
    <xf numFmtId="10" fontId="24" fillId="4" borderId="0" xfId="0" applyNumberFormat="1" applyFont="1" applyFill="1" applyAlignment="1">
      <alignment horizontal="center"/>
    </xf>
    <xf numFmtId="10" fontId="3" fillId="7" borderId="0" xfId="0" applyNumberFormat="1" applyFont="1" applyFill="1" applyAlignment="1">
      <alignment horizontal="center"/>
    </xf>
    <xf numFmtId="0" fontId="3" fillId="7" borderId="0" xfId="0" applyFont="1" applyFill="1" applyAlignment="1">
      <alignment horizontal="center"/>
    </xf>
    <xf numFmtId="1" fontId="69" fillId="4" borderId="0" xfId="0" applyNumberFormat="1" applyFont="1" applyFill="1" applyAlignment="1">
      <alignment horizontal="center"/>
    </xf>
    <xf numFmtId="10" fontId="24" fillId="7" borderId="0" xfId="0" applyNumberFormat="1" applyFont="1" applyFill="1" applyAlignment="1">
      <alignment horizontal="center"/>
    </xf>
    <xf numFmtId="0" fontId="1" fillId="4" borderId="8" xfId="0" applyFont="1" applyFill="1" applyBorder="1" applyAlignment="1">
      <alignment horizontal="center"/>
    </xf>
    <xf numFmtId="0" fontId="1" fillId="4" borderId="9" xfId="0" applyFont="1" applyFill="1" applyBorder="1" applyAlignment="1">
      <alignment horizontal="center"/>
    </xf>
    <xf numFmtId="0" fontId="28" fillId="7" borderId="8" xfId="0" applyFont="1" applyFill="1" applyBorder="1" applyAlignment="1">
      <alignment horizontal="center" vertical="center"/>
    </xf>
    <xf numFmtId="0" fontId="28" fillId="7" borderId="0" xfId="0" applyFont="1" applyFill="1" applyAlignment="1">
      <alignment horizontal="center" vertical="center"/>
    </xf>
    <xf numFmtId="0" fontId="25" fillId="6" borderId="7" xfId="0" applyFont="1" applyFill="1" applyBorder="1" applyAlignment="1">
      <alignment horizontal="center" vertical="center"/>
    </xf>
    <xf numFmtId="0" fontId="25" fillId="6" borderId="8" xfId="0" applyFont="1" applyFill="1" applyBorder="1" applyAlignment="1">
      <alignment horizontal="center" vertical="center"/>
    </xf>
    <xf numFmtId="0" fontId="25" fillId="6" borderId="2" xfId="0" applyFont="1" applyFill="1" applyBorder="1" applyAlignment="1">
      <alignment horizontal="center" vertical="center"/>
    </xf>
    <xf numFmtId="0" fontId="25" fillId="6" borderId="0" xfId="0" applyFont="1" applyFill="1" applyAlignment="1">
      <alignment horizontal="center" vertical="center"/>
    </xf>
    <xf numFmtId="0" fontId="25" fillId="6" borderId="10" xfId="0" applyFont="1" applyFill="1" applyBorder="1" applyAlignment="1">
      <alignment horizontal="center" vertical="center"/>
    </xf>
    <xf numFmtId="0" fontId="25" fillId="6" borderId="6" xfId="0" applyFont="1" applyFill="1" applyBorder="1" applyAlignment="1">
      <alignment horizontal="center" vertical="center"/>
    </xf>
    <xf numFmtId="0" fontId="58" fillId="7" borderId="0" xfId="0" applyFont="1" applyFill="1" applyAlignment="1">
      <alignment horizontal="center" wrapText="1"/>
    </xf>
    <xf numFmtId="0" fontId="40" fillId="6" borderId="12" xfId="4" applyFont="1" applyFill="1" applyBorder="1" applyAlignment="1">
      <alignment horizontal="center" wrapText="1"/>
    </xf>
    <xf numFmtId="0" fontId="44" fillId="6" borderId="0" xfId="0" applyFont="1" applyFill="1" applyAlignment="1">
      <alignment horizontal="left" vertical="center" wrapText="1"/>
    </xf>
    <xf numFmtId="0" fontId="0" fillId="6" borderId="0" xfId="0" applyFill="1" applyAlignment="1">
      <alignment horizontal="left" wrapText="1"/>
    </xf>
    <xf numFmtId="0" fontId="3" fillId="4" borderId="0" xfId="0" applyFont="1" applyFill="1" applyAlignment="1">
      <alignment horizontal="center" vertical="center"/>
    </xf>
    <xf numFmtId="0" fontId="27" fillId="4" borderId="0" xfId="0" applyFont="1" applyFill="1" applyAlignment="1">
      <alignment horizontal="center" vertical="center"/>
    </xf>
    <xf numFmtId="0" fontId="1" fillId="4" borderId="0" xfId="0" applyFont="1" applyFill="1" applyAlignment="1">
      <alignment horizontal="center"/>
    </xf>
    <xf numFmtId="0" fontId="3" fillId="4" borderId="7" xfId="0" applyFont="1" applyFill="1" applyBorder="1" applyAlignment="1">
      <alignment horizontal="center"/>
    </xf>
    <xf numFmtId="0" fontId="3" fillId="4" borderId="8" xfId="0" applyFont="1" applyFill="1" applyBorder="1" applyAlignment="1">
      <alignment horizontal="center"/>
    </xf>
    <xf numFmtId="0" fontId="3" fillId="4" borderId="9" xfId="0" applyFont="1" applyFill="1" applyBorder="1" applyAlignment="1">
      <alignment horizontal="center"/>
    </xf>
    <xf numFmtId="0" fontId="0" fillId="16" borderId="0" xfId="0" applyFill="1" applyAlignment="1">
      <alignment horizontal="left" wrapText="1"/>
    </xf>
    <xf numFmtId="0" fontId="65" fillId="10" borderId="0" xfId="0" applyFont="1" applyFill="1" applyAlignment="1">
      <alignment horizontal="center" vertical="top"/>
    </xf>
    <xf numFmtId="0" fontId="61" fillId="6" borderId="24" xfId="0" applyFont="1" applyFill="1" applyBorder="1" applyAlignment="1">
      <alignment horizontal="center" vertical="center" readingOrder="2"/>
    </xf>
    <xf numFmtId="0" fontId="61" fillId="6" borderId="25" xfId="0" applyFont="1" applyFill="1" applyBorder="1" applyAlignment="1">
      <alignment horizontal="center" vertical="center" readingOrder="2"/>
    </xf>
    <xf numFmtId="0" fontId="61" fillId="6" borderId="26" xfId="0" applyFont="1" applyFill="1" applyBorder="1" applyAlignment="1">
      <alignment horizontal="center" vertical="center" readingOrder="2"/>
    </xf>
    <xf numFmtId="0" fontId="1" fillId="4" borderId="0" xfId="0" applyFont="1" applyFill="1" applyAlignment="1">
      <alignment horizontal="center" wrapText="1"/>
    </xf>
    <xf numFmtId="0" fontId="33" fillId="4" borderId="1" xfId="0" applyFont="1" applyFill="1" applyBorder="1" applyAlignment="1">
      <alignment horizontal="center" vertical="center" textRotation="90"/>
    </xf>
    <xf numFmtId="0" fontId="0" fillId="4" borderId="1" xfId="0" applyFill="1" applyBorder="1" applyAlignment="1">
      <alignment horizontal="center" vertical="center" textRotation="90"/>
    </xf>
    <xf numFmtId="0" fontId="0" fillId="4" borderId="6" xfId="0" applyFill="1" applyBorder="1" applyAlignment="1">
      <alignment horizontal="center"/>
    </xf>
    <xf numFmtId="173" fontId="1" fillId="6" borderId="36" xfId="0" applyNumberFormat="1" applyFont="1" applyFill="1" applyBorder="1" applyAlignment="1">
      <alignment horizontal="center"/>
    </xf>
    <xf numFmtId="173" fontId="1" fillId="6" borderId="37" xfId="0" applyNumberFormat="1" applyFont="1" applyFill="1" applyBorder="1" applyAlignment="1">
      <alignment horizontal="center"/>
    </xf>
    <xf numFmtId="10" fontId="0" fillId="6" borderId="38" xfId="0" applyNumberFormat="1" applyFill="1" applyBorder="1" applyAlignment="1">
      <alignment horizontal="center"/>
    </xf>
    <xf numFmtId="0" fontId="0" fillId="6" borderId="39" xfId="0" applyFill="1" applyBorder="1" applyAlignment="1">
      <alignment horizontal="center"/>
    </xf>
    <xf numFmtId="173" fontId="0" fillId="6" borderId="36" xfId="0" applyNumberFormat="1" applyFill="1" applyBorder="1" applyAlignment="1">
      <alignment horizontal="center"/>
    </xf>
    <xf numFmtId="173" fontId="0" fillId="6" borderId="37" xfId="0" applyNumberFormat="1" applyFill="1" applyBorder="1" applyAlignment="1">
      <alignment horizontal="center"/>
    </xf>
    <xf numFmtId="173" fontId="1" fillId="6" borderId="41" xfId="0" applyNumberFormat="1" applyFont="1" applyFill="1" applyBorder="1" applyAlignment="1">
      <alignment horizontal="center"/>
    </xf>
    <xf numFmtId="173" fontId="1" fillId="6" borderId="40" xfId="0" applyNumberFormat="1" applyFont="1" applyFill="1" applyBorder="1" applyAlignment="1">
      <alignment horizontal="center"/>
    </xf>
    <xf numFmtId="173" fontId="0" fillId="6" borderId="38" xfId="0" applyNumberFormat="1" applyFill="1" applyBorder="1" applyAlignment="1">
      <alignment horizontal="center"/>
    </xf>
    <xf numFmtId="173" fontId="0" fillId="6" borderId="39" xfId="0" applyNumberFormat="1" applyFill="1" applyBorder="1" applyAlignment="1">
      <alignment horizontal="center"/>
    </xf>
    <xf numFmtId="173" fontId="1" fillId="6" borderId="45" xfId="0" applyNumberFormat="1" applyFont="1" applyFill="1" applyBorder="1" applyAlignment="1">
      <alignment horizontal="center"/>
    </xf>
    <xf numFmtId="173" fontId="1" fillId="6" borderId="44" xfId="0" applyNumberFormat="1" applyFont="1" applyFill="1" applyBorder="1" applyAlignment="1">
      <alignment horizontal="center"/>
    </xf>
    <xf numFmtId="173" fontId="0" fillId="6" borderId="42" xfId="0" applyNumberFormat="1" applyFill="1" applyBorder="1" applyAlignment="1">
      <alignment horizontal="center"/>
    </xf>
    <xf numFmtId="173" fontId="0" fillId="6" borderId="43" xfId="0" applyNumberFormat="1" applyFill="1" applyBorder="1" applyAlignment="1">
      <alignment horizontal="center"/>
    </xf>
    <xf numFmtId="173" fontId="1" fillId="12" borderId="15" xfId="0" applyNumberFormat="1" applyFont="1" applyFill="1" applyBorder="1" applyAlignment="1">
      <alignment horizontal="center"/>
    </xf>
    <xf numFmtId="173" fontId="1" fillId="12" borderId="33" xfId="0" applyNumberFormat="1" applyFont="1" applyFill="1" applyBorder="1" applyAlignment="1">
      <alignment horizontal="center"/>
    </xf>
    <xf numFmtId="0" fontId="35" fillId="6" borderId="0" xfId="0" applyFont="1" applyFill="1" applyAlignment="1">
      <alignment horizontal="center" vertical="center" wrapText="1"/>
    </xf>
    <xf numFmtId="0" fontId="71" fillId="6" borderId="0" xfId="0" applyFont="1" applyFill="1" applyAlignment="1">
      <alignment horizontal="center" vertical="center"/>
    </xf>
    <xf numFmtId="169" fontId="0" fillId="6" borderId="38" xfId="0" applyNumberFormat="1" applyFill="1" applyBorder="1" applyAlignment="1">
      <alignment horizontal="center"/>
    </xf>
    <xf numFmtId="169" fontId="0" fillId="6" borderId="39" xfId="0" applyNumberFormat="1" applyFill="1" applyBorder="1" applyAlignment="1">
      <alignment horizontal="center"/>
    </xf>
    <xf numFmtId="0" fontId="1" fillId="6" borderId="34" xfId="0" applyFont="1" applyFill="1" applyBorder="1" applyAlignment="1">
      <alignment horizontal="center"/>
    </xf>
    <xf numFmtId="0" fontId="1" fillId="6" borderId="35" xfId="0" applyFont="1" applyFill="1" applyBorder="1" applyAlignment="1">
      <alignment horizontal="center"/>
    </xf>
    <xf numFmtId="0" fontId="21" fillId="6" borderId="8" xfId="0" applyFont="1" applyFill="1" applyBorder="1" applyAlignment="1">
      <alignment horizontal="center" vertical="center" wrapText="1"/>
    </xf>
    <xf numFmtId="0" fontId="21" fillId="6" borderId="6" xfId="0" applyFont="1" applyFill="1" applyBorder="1" applyAlignment="1">
      <alignment horizontal="center" vertical="center" wrapText="1"/>
    </xf>
    <xf numFmtId="0" fontId="71" fillId="6" borderId="9" xfId="0" applyFont="1" applyFill="1" applyBorder="1" applyAlignment="1">
      <alignment horizontal="center" vertical="center"/>
    </xf>
    <xf numFmtId="0" fontId="71" fillId="6" borderId="11" xfId="0" applyFont="1" applyFill="1" applyBorder="1" applyAlignment="1">
      <alignment horizontal="center" vertical="center"/>
    </xf>
    <xf numFmtId="0" fontId="70" fillId="6" borderId="7" xfId="0" applyFont="1" applyFill="1" applyBorder="1" applyAlignment="1">
      <alignment horizontal="left" vertical="center"/>
    </xf>
    <xf numFmtId="0" fontId="70" fillId="6" borderId="8" xfId="0" applyFont="1" applyFill="1" applyBorder="1" applyAlignment="1">
      <alignment horizontal="left" vertical="center"/>
    </xf>
    <xf numFmtId="0" fontId="70" fillId="6" borderId="10" xfId="0" applyFont="1" applyFill="1" applyBorder="1" applyAlignment="1">
      <alignment horizontal="left" vertical="center"/>
    </xf>
    <xf numFmtId="0" fontId="70" fillId="6" borderId="6" xfId="0" applyFont="1" applyFill="1" applyBorder="1" applyAlignment="1">
      <alignment horizontal="left" vertical="center"/>
    </xf>
    <xf numFmtId="9" fontId="33" fillId="6" borderId="0" xfId="0" applyNumberFormat="1" applyFont="1" applyFill="1"/>
  </cellXfs>
  <cellStyles count="10">
    <cellStyle name="Comma" xfId="3" builtinId="3"/>
    <cellStyle name="Comma 2" xfId="5" xr:uid="{29F6DBF8-B813-41FE-B558-67FF478B610E}"/>
    <cellStyle name="Explanatory Text" xfId="4" builtinId="53"/>
    <cellStyle name="EYColumnHeading 3" xfId="6" xr:uid="{099B7765-B6AF-4DA5-84B2-7F092F92D78D}"/>
    <cellStyle name="EYNotes" xfId="9" xr:uid="{D2C9DFAF-9F8F-4321-BBDB-C241442EF5C2}"/>
    <cellStyle name="EYNotesHeading 3" xfId="7" xr:uid="{190C5D42-8BB1-40B0-94A9-9155EF1B93DF}"/>
    <cellStyle name="EYtext" xfId="8" xr:uid="{B0659D69-706F-469B-BDAE-E6034953705C}"/>
    <cellStyle name="Hyperlink" xfId="2" builtinId="8"/>
    <cellStyle name="Normal" xfId="0" builtinId="0"/>
    <cellStyle name="Percent" xfId="1" builtinId="5"/>
  </cellStyles>
  <dxfs count="10">
    <dxf>
      <font>
        <strike val="0"/>
        <outline val="0"/>
        <shadow val="0"/>
        <vertAlign val="baseline"/>
        <color theme="1"/>
        <name val="Calibri"/>
        <family val="2"/>
      </font>
      <fill>
        <patternFill>
          <bgColor theme="3" tint="0.79998168889431442"/>
        </patternFill>
      </fill>
      <alignment vertical="top" textRotation="0"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top" textRotation="0" wrapText="0" indent="0" justifyLastLine="0" shrinkToFit="0" readingOrder="0"/>
    </dxf>
    <dxf>
      <font>
        <strike val="0"/>
        <outline val="0"/>
        <shadow val="0"/>
        <vertAlign val="baseline"/>
        <color theme="1"/>
        <name val="Calibri"/>
        <family val="2"/>
      </font>
      <fill>
        <patternFill>
          <bgColor theme="3" tint="0.79998168889431442"/>
        </patternFill>
      </fill>
      <alignment vertical="top" textRotation="0" indent="0" justifyLastLine="0" shrinkToFit="0" readingOrder="0"/>
    </dxf>
    <dxf>
      <font>
        <b val="0"/>
        <i val="0"/>
        <strike val="0"/>
        <condense val="0"/>
        <extend val="0"/>
        <outline val="0"/>
        <shadow val="0"/>
        <u val="none"/>
        <vertAlign val="baseline"/>
        <sz val="12"/>
        <color theme="1"/>
        <name val="Calibri"/>
        <family val="2"/>
        <scheme val="none"/>
      </font>
      <alignment horizontal="general" vertical="top" textRotation="0" wrapText="0" indent="0" justifyLastLine="0" shrinkToFit="0" readingOrder="0"/>
    </dxf>
    <dxf>
      <font>
        <strike val="0"/>
        <outline val="0"/>
        <shadow val="0"/>
        <vertAlign val="baseline"/>
        <color theme="1"/>
        <name val="Calibri"/>
        <family val="2"/>
      </font>
      <fill>
        <patternFill>
          <bgColor theme="3" tint="0.79998168889431442"/>
        </patternFill>
      </fill>
      <alignment vertical="top" textRotation="0" indent="0" justifyLastLine="0" shrinkToFit="0" readingOrder="0"/>
    </dxf>
    <dxf>
      <font>
        <b/>
        <i val="0"/>
        <strike val="0"/>
        <condense val="0"/>
        <extend val="0"/>
        <outline val="0"/>
        <shadow val="0"/>
        <u val="none"/>
        <vertAlign val="baseline"/>
        <sz val="12"/>
        <color theme="0"/>
        <name val="Calibri"/>
        <family val="2"/>
        <scheme val="none"/>
      </font>
      <fill>
        <patternFill patternType="solid">
          <fgColor rgb="FF002060"/>
          <bgColor rgb="FF002060"/>
        </patternFill>
      </fill>
      <alignment horizontal="general" vertical="top" textRotation="0" wrapText="0" indent="0" justifyLastLine="0" shrinkToFit="0" readingOrder="0"/>
    </dxf>
    <dxf>
      <font>
        <strike val="0"/>
        <outline val="0"/>
        <shadow val="0"/>
        <vertAlign val="baseline"/>
        <color theme="1"/>
        <name val="Calibri"/>
        <family val="2"/>
      </font>
      <fill>
        <patternFill>
          <bgColor theme="3" tint="0.79998168889431442"/>
        </patternFill>
      </fill>
      <alignment vertical="top" textRotation="0" indent="0" justifyLastLine="0" shrinkToFit="0" readingOrder="0"/>
    </dxf>
    <dxf>
      <border diagonalUp="0" diagonalDown="0">
        <left/>
        <right/>
        <top/>
        <bottom style="thin">
          <color indexed="64"/>
        </bottom>
      </border>
    </dxf>
    <dxf>
      <font>
        <strike val="0"/>
        <outline val="0"/>
        <shadow val="0"/>
        <vertAlign val="baseline"/>
        <color theme="1"/>
        <name val="Calibri"/>
        <family val="2"/>
      </font>
      <fill>
        <patternFill>
          <bgColor theme="3" tint="0.79998168889431442"/>
        </patternFill>
      </fill>
      <alignment vertical="top" textRotation="0" indent="0" justifyLastLine="0" shrinkToFit="0" readingOrder="0"/>
    </dxf>
    <dxf>
      <font>
        <strike val="0"/>
        <outline val="0"/>
        <shadow val="0"/>
        <vertAlign val="baseline"/>
        <color theme="1"/>
        <name val="Calibri"/>
        <family val="2"/>
      </font>
      <fill>
        <patternFill>
          <bgColor theme="3" tint="0.79998168889431442"/>
        </patternFill>
      </fill>
      <alignment vertical="top" textRotation="0" indent="0" justifyLastLine="0" shrinkToFit="0" readingOrder="0"/>
    </dxf>
  </dxfs>
  <tableStyles count="0" defaultTableStyle="TableStyleMedium2" defaultPivotStyle="PivotStyleLight16"/>
  <colors>
    <mruColors>
      <color rgb="FF2AB10F"/>
      <color rgb="FF199CFF"/>
      <color rgb="FFFFB3B3"/>
      <color rgb="FF38EA14"/>
      <color rgb="FFF1B317"/>
      <color rgb="FF72550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bhishek%20M\Desktop\Amgen\AMGEN\Amgen%20-%20CCA.xlsx" TargetMode="External"/><Relationship Id="rId1" Type="http://schemas.openxmlformats.org/officeDocument/2006/relationships/externalLinkPath" Target="Amgen%20-%20CC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Valuation "/>
      <sheetName val="Output"/>
      <sheetName val="AMGEN"/>
      <sheetName val="AbbVie"/>
      <sheetName val="BMY"/>
      <sheetName val="Pfizer"/>
      <sheetName val="Regeneron"/>
      <sheetName val="J&amp;J"/>
    </sheetNames>
    <sheetDataSet>
      <sheetData sheetId="0"/>
      <sheetData sheetId="1">
        <row r="20">
          <cell r="H20">
            <v>12.822246346237939</v>
          </cell>
        </row>
      </sheetData>
      <sheetData sheetId="2"/>
      <sheetData sheetId="3"/>
      <sheetData sheetId="4"/>
      <sheetData sheetId="5"/>
      <sheetData sheetId="6"/>
      <sheetData sheetId="7"/>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A1BBE20-A233-40F1-9C58-2D1307BA19F6}" name="Table3" displayName="Table3" ref="B5:D13" headerRowCount="0" headerRowDxfId="9" dataDxfId="8" totalsRowDxfId="6" tableBorderDxfId="7">
  <tableColumns count="3">
    <tableColumn id="1" xr3:uid="{668A7600-F9C6-4854-A933-0C587F43C48B}" name="Column1" totalsRowLabel="Total" headerRowDxfId="5" dataDxfId="4"/>
    <tableColumn id="2" xr3:uid="{981AB1F7-55D0-421B-8053-61CD125B0534}" name="Column2" headerRowDxfId="3" dataDxfId="2"/>
    <tableColumn id="3" xr3:uid="{EA9D7927-540C-4F29-B797-061B8DD5D321}" name="Column3" totalsRowFunction="count"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TfgsA8Z26hNsTVagDgWKbNr32Vgc1eTG/view?usp=drive_link" TargetMode="External"/><Relationship Id="rId13" Type="http://schemas.openxmlformats.org/officeDocument/2006/relationships/hyperlink" Target="https://drive.google.com/file/d/1c4aOENXn_1kYzMJZY31OqpIVcdfFUF4g/view?usp=drive_link" TargetMode="External"/><Relationship Id="rId3" Type="http://schemas.openxmlformats.org/officeDocument/2006/relationships/hyperlink" Target="https://drive.google.com/file/d/1evvVkc73dwBEMP6uzVh2sBfupFI2FtQI/view?usp=drive_link" TargetMode="External"/><Relationship Id="rId7" Type="http://schemas.openxmlformats.org/officeDocument/2006/relationships/hyperlink" Target="https://drive.google.com/file/d/1cmEHCsdVE_HtWU-I1PuVaBdx9PZCC0Sh/view?usp=drive_link" TargetMode="External"/><Relationship Id="rId12" Type="http://schemas.openxmlformats.org/officeDocument/2006/relationships/hyperlink" Target="https://drive.google.com/file/d/1tO5K4ZGITVh0NmO5HLR55fTp3_DW2l37/view?usp=drive_link" TargetMode="External"/><Relationship Id="rId17" Type="http://schemas.openxmlformats.org/officeDocument/2006/relationships/comments" Target="../comments1.xml"/><Relationship Id="rId2" Type="http://schemas.openxmlformats.org/officeDocument/2006/relationships/hyperlink" Target="https://drive.google.com/file/d/1y-C4msnDwgVIjMda8Kd9HLJ1dauZEzqf/view?usp=drive_link" TargetMode="External"/><Relationship Id="rId16" Type="http://schemas.openxmlformats.org/officeDocument/2006/relationships/vmlDrawing" Target="../drawings/vmlDrawing1.vml"/><Relationship Id="rId1" Type="http://schemas.openxmlformats.org/officeDocument/2006/relationships/hyperlink" Target="https://drive.google.com/file/d/12932C04X3jonv8W7CDIpsu-qPrUxBFgD/view?usp=drive_link" TargetMode="External"/><Relationship Id="rId6" Type="http://schemas.openxmlformats.org/officeDocument/2006/relationships/hyperlink" Target="https://drive.google.com/file/d/1nanb4nXaa7Ec_MdPiCKwMo3KdnWVKL6g/view?usp=drive_link" TargetMode="External"/><Relationship Id="rId11" Type="http://schemas.openxmlformats.org/officeDocument/2006/relationships/hyperlink" Target="https://drive.google.com/file/d/1GncAxdeQMTTstkED4sF4f_9rvX0K4KMh/view?usp=drive_link" TargetMode="External"/><Relationship Id="rId5" Type="http://schemas.openxmlformats.org/officeDocument/2006/relationships/hyperlink" Target="https://drive.google.com/file/d/15F8vEbt8rxDgr8VZaYKESnHG1a3G1p38/view?usp=drive_link" TargetMode="External"/><Relationship Id="rId15" Type="http://schemas.openxmlformats.org/officeDocument/2006/relationships/hyperlink" Target="https://drive.google.com/file/d/13yfctaIIMlOXGHN4ZXflqbM7Q57ztSWQ/view?usp=drive_link" TargetMode="External"/><Relationship Id="rId10" Type="http://schemas.openxmlformats.org/officeDocument/2006/relationships/hyperlink" Target="https://drive.google.com/file/d/13E6dxLzUFX71DDA9PFnSDVDhZ_bxXN5z/view?usp=drive_link" TargetMode="External"/><Relationship Id="rId4" Type="http://schemas.openxmlformats.org/officeDocument/2006/relationships/hyperlink" Target="https://drive.google.com/file/d/1Lfir_-e2yrNTE4WHuqvoKGzlLYYG7yCr/view?usp=drive_link" TargetMode="External"/><Relationship Id="rId9" Type="http://schemas.openxmlformats.org/officeDocument/2006/relationships/hyperlink" Target="https://drive.google.com/file/d/1Hjp2AjuZCfZMVVMU4IeSY7DjhqXT2dgf/view?usp=drive_link" TargetMode="External"/><Relationship Id="rId14" Type="http://schemas.openxmlformats.org/officeDocument/2006/relationships/hyperlink" Target="https://drive.google.com/file/d/13yfctaIIMlOXGHN4ZXflqbM7Q57ztSWQ/view?usp=drive_linkhttps://drive.google.com/file/d/13yfctaIIMlOXGHN4ZXflqbM7Q57ztSWQ/view?usp=drive_linkhttps://drive.google.com/file/d/13yfctaIIMlOXGHN4ZXflqbM7Q57ztSWQ/view?usp=drive_linkhttps://drive.google.com/file/d/13yfctaIIMlOXGHN4ZXflqbM7Q57ztSWQ/view?usp=drive_linkhttps://drive.google.com/file/d/13yfctaIIMlOXGHN4ZXflqbM7Q57ztSWQ/view?usp=drive_linkhttps://drive.google.com/file/d/13yfctaIIMlOXGHN4ZXflqbM7Q57ztSWQ/view?usp=drive_lin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QMMcm5fP6WtdeduNq6gLxhGuRZzXPf8_/view?usp=drive_link" TargetMode="External"/><Relationship Id="rId3" Type="http://schemas.openxmlformats.org/officeDocument/2006/relationships/hyperlink" Target="https://drive.google.com/file/d/18gmrKvyJkAMlPgOJiihCSK-IbFhwqzL8/view?usp=drive_link" TargetMode="External"/><Relationship Id="rId7" Type="http://schemas.openxmlformats.org/officeDocument/2006/relationships/hyperlink" Target="https://drive.google.com/file/d/1QMMcm5fP6WtdeduNq6gLxhGuRZzXPf8_/view?usp=drive_link" TargetMode="External"/><Relationship Id="rId2" Type="http://schemas.openxmlformats.org/officeDocument/2006/relationships/hyperlink" Target="https://drive.google.com/file/d/1TfgsA8Z26hNsTVagDgWKbNr32Vgc1eTG/view?usp=drive_link" TargetMode="External"/><Relationship Id="rId1" Type="http://schemas.openxmlformats.org/officeDocument/2006/relationships/hyperlink" Target="https://drive.google.com/file/d/1cmEHCsdVE_HtWU-I1PuVaBdx9PZCC0Sh/view?usp=drive_link" TargetMode="External"/><Relationship Id="rId6" Type="http://schemas.openxmlformats.org/officeDocument/2006/relationships/hyperlink" Target="https://drive.google.com/file/d/1NzsrobXiQN8djs96r41VTdLgmVg5eQbS/view?usp=drive_link" TargetMode="External"/><Relationship Id="rId5" Type="http://schemas.openxmlformats.org/officeDocument/2006/relationships/hyperlink" Target="https://drive.google.com/file/d/1U-TSzOzoTVIt9rRmv-ZSe4L5X0Fv20U0/view?usp=drive_link" TargetMode="External"/><Relationship Id="rId10" Type="http://schemas.openxmlformats.org/officeDocument/2006/relationships/comments" Target="../comments2.xml"/><Relationship Id="rId4" Type="http://schemas.openxmlformats.org/officeDocument/2006/relationships/hyperlink" Target="https://drive.google.com/file/d/1YCQH2mu2KuYxM37i8UUK0F5IqeCO-9AS/view?usp=drive_link" TargetMode="External"/><Relationship Id="rId9"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1.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096CA-B788-4CF4-B68F-F476375D8CF0}">
  <dimension ref="A1:BN111"/>
  <sheetViews>
    <sheetView zoomScale="66" zoomScaleNormal="40" workbookViewId="0">
      <pane xSplit="4" ySplit="6" topLeftCell="AZ70" activePane="bottomRight" state="frozen"/>
      <selection pane="topRight" activeCell="E1" sqref="E1"/>
      <selection pane="bottomLeft" activeCell="A7" sqref="A7"/>
      <selection pane="bottomRight" activeCell="BL94" sqref="BL94"/>
    </sheetView>
  </sheetViews>
  <sheetFormatPr defaultRowHeight="14.5" x14ac:dyDescent="0.35"/>
  <cols>
    <col min="1" max="3" width="8.7265625" style="12"/>
    <col min="4" max="4" width="12.6328125" style="12" customWidth="1"/>
    <col min="5" max="6" width="9.90625" style="12" bestFit="1" customWidth="1"/>
    <col min="7" max="7" width="10.81640625" style="12" bestFit="1" customWidth="1"/>
    <col min="8" max="8" width="9.90625" style="12" bestFit="1" customWidth="1"/>
    <col min="9" max="9" width="7" style="12" bestFit="1" customWidth="1"/>
    <col min="10" max="10" width="10.81640625" style="12" bestFit="1" customWidth="1"/>
    <col min="11" max="11" width="9.90625" style="12" bestFit="1" customWidth="1"/>
    <col min="12" max="12" width="6.81640625" style="12" bestFit="1" customWidth="1"/>
    <col min="13" max="13" width="10.81640625" style="12" bestFit="1" customWidth="1"/>
    <col min="14" max="14" width="9.90625" style="12" bestFit="1" customWidth="1"/>
    <col min="15" max="15" width="6.81640625" style="12" bestFit="1" customWidth="1"/>
    <col min="16" max="16" width="10.81640625" style="12" bestFit="1" customWidth="1"/>
    <col min="17" max="17" width="9.90625" style="12" bestFit="1" customWidth="1"/>
    <col min="18" max="18" width="7.1796875" style="12" bestFit="1" customWidth="1"/>
    <col min="19" max="19" width="10.81640625" style="12" bestFit="1" customWidth="1"/>
    <col min="20" max="20" width="9.90625" style="12" bestFit="1" customWidth="1"/>
    <col min="21" max="21" width="6.81640625" style="12" bestFit="1" customWidth="1"/>
    <col min="22" max="22" width="10.81640625" style="12" bestFit="1" customWidth="1"/>
    <col min="23" max="32" width="13.08984375" style="12" customWidth="1"/>
    <col min="33" max="33" width="8.7265625" style="12"/>
    <col min="34" max="34" width="10.54296875" style="12" bestFit="1" customWidth="1"/>
    <col min="35" max="35" width="26.54296875" style="12" hidden="1" customWidth="1"/>
    <col min="36" max="36" width="6.6328125" style="12" hidden="1" customWidth="1"/>
    <col min="37" max="37" width="10.54296875" style="12" hidden="1" customWidth="1"/>
    <col min="38" max="38" width="25" style="12" hidden="1" customWidth="1"/>
    <col min="39" max="39" width="5.6328125" style="12" hidden="1" customWidth="1"/>
    <col min="40" max="40" width="10.54296875" style="12" hidden="1" customWidth="1"/>
    <col min="41" max="41" width="30.54296875" style="12" hidden="1" customWidth="1"/>
    <col min="42" max="42" width="6" style="12" hidden="1" customWidth="1"/>
    <col min="43" max="43" width="10.54296875" style="12" hidden="1" customWidth="1"/>
    <col min="44" max="44" width="29.90625" style="12" hidden="1" customWidth="1"/>
    <col min="45" max="45" width="6" style="12" hidden="1" customWidth="1"/>
    <col min="46" max="46" width="10.54296875" style="12" hidden="1" customWidth="1"/>
    <col min="47" max="66" width="12.36328125" style="12" customWidth="1"/>
    <col min="67" max="16384" width="8.7265625" style="12"/>
  </cols>
  <sheetData>
    <row r="1" spans="1:66" ht="27" customHeight="1" x14ac:dyDescent="0.5">
      <c r="A1" s="472" t="s">
        <v>12</v>
      </c>
      <c r="B1" s="472"/>
      <c r="C1" s="2"/>
      <c r="D1" s="2"/>
      <c r="W1" s="66"/>
      <c r="X1" s="66"/>
      <c r="Y1" s="66"/>
      <c r="Z1" s="66"/>
      <c r="AA1" s="66"/>
      <c r="AB1" s="66"/>
      <c r="AC1" s="66"/>
      <c r="AD1" s="66"/>
      <c r="AE1" s="66"/>
      <c r="AF1" s="66"/>
      <c r="AG1" s="66"/>
      <c r="AH1" s="66"/>
      <c r="AI1" s="66"/>
      <c r="AJ1" s="66"/>
      <c r="AK1" s="66"/>
      <c r="AL1" s="66"/>
      <c r="AM1" s="66"/>
      <c r="AN1" s="66"/>
      <c r="AO1" s="66"/>
      <c r="AP1" s="66"/>
      <c r="AQ1" s="66"/>
      <c r="AR1" s="66"/>
      <c r="AS1" s="66"/>
      <c r="AT1" s="66"/>
      <c r="AU1" s="66"/>
      <c r="AV1" s="66"/>
      <c r="AW1" s="284"/>
      <c r="AX1" s="130"/>
      <c r="AY1" s="130"/>
      <c r="AZ1" s="2"/>
      <c r="BA1" s="2"/>
      <c r="BB1" s="2"/>
      <c r="BC1" s="2"/>
      <c r="BD1" s="2"/>
      <c r="BE1" s="2"/>
      <c r="BF1" s="2"/>
      <c r="BG1" s="2"/>
      <c r="BH1" s="2"/>
      <c r="BI1" s="2"/>
      <c r="BJ1" s="2"/>
      <c r="BK1" s="2"/>
      <c r="BL1" s="2"/>
      <c r="BM1" s="2"/>
      <c r="BN1" s="2"/>
    </row>
    <row r="2" spans="1:66" ht="13.5" customHeight="1" x14ac:dyDescent="0.35">
      <c r="A2" s="69" t="s">
        <v>403</v>
      </c>
      <c r="B2" s="69"/>
      <c r="C2" s="2"/>
      <c r="D2" s="2"/>
      <c r="W2" s="4"/>
      <c r="X2" s="4"/>
      <c r="Y2" s="4"/>
      <c r="Z2" s="4"/>
      <c r="AA2" s="4"/>
      <c r="AB2" s="4"/>
      <c r="AC2" s="4"/>
      <c r="AD2" s="4"/>
      <c r="AE2" s="4"/>
      <c r="AF2" s="4"/>
      <c r="AG2" s="4"/>
      <c r="AH2" s="4"/>
      <c r="AI2" s="4"/>
      <c r="AJ2" s="4"/>
      <c r="AK2" s="4"/>
      <c r="AL2" s="4"/>
      <c r="AM2" s="4"/>
      <c r="AN2" s="4"/>
      <c r="AO2" s="4"/>
      <c r="AP2" s="4"/>
      <c r="AQ2" s="4"/>
      <c r="AR2" s="4"/>
      <c r="AS2" s="4"/>
      <c r="AT2" s="4"/>
      <c r="AU2" s="4"/>
      <c r="AV2" s="4"/>
      <c r="AW2" s="281"/>
      <c r="AX2" s="130"/>
      <c r="AY2" s="130"/>
      <c r="AZ2" s="2"/>
      <c r="BA2" s="2"/>
      <c r="BB2" s="2"/>
      <c r="BC2" s="2"/>
      <c r="BD2" s="2"/>
      <c r="BE2" s="2"/>
      <c r="BF2" s="2"/>
      <c r="BG2" s="2"/>
      <c r="BH2" s="2"/>
      <c r="BI2" s="2"/>
      <c r="BJ2" s="2"/>
      <c r="BK2" s="2"/>
      <c r="BL2" s="2"/>
      <c r="BM2" s="2"/>
      <c r="BN2" s="2"/>
    </row>
    <row r="3" spans="1:66" ht="14.5" customHeight="1" x14ac:dyDescent="0.35">
      <c r="A3" s="419"/>
      <c r="B3" s="66"/>
      <c r="C3" s="66"/>
      <c r="D3" s="66"/>
      <c r="E3" s="14" t="s">
        <v>14</v>
      </c>
      <c r="F3" s="234" t="s">
        <v>112</v>
      </c>
      <c r="G3" s="235"/>
      <c r="H3" s="48" t="s">
        <v>14</v>
      </c>
      <c r="I3" s="48"/>
      <c r="J3" s="417"/>
      <c r="K3" s="48" t="s">
        <v>14</v>
      </c>
      <c r="L3" s="48"/>
      <c r="M3" s="417"/>
      <c r="N3" s="48" t="s">
        <v>14</v>
      </c>
      <c r="O3" s="48"/>
      <c r="P3" s="417"/>
      <c r="Q3" s="48" t="s">
        <v>14</v>
      </c>
      <c r="R3" s="48"/>
      <c r="S3" s="417"/>
      <c r="T3" s="476" t="s">
        <v>14</v>
      </c>
      <c r="U3" s="477"/>
      <c r="V3" s="478"/>
      <c r="W3" s="479" t="s">
        <v>14</v>
      </c>
      <c r="X3" s="480"/>
      <c r="Y3" s="481"/>
      <c r="Z3" s="479" t="s">
        <v>14</v>
      </c>
      <c r="AA3" s="480"/>
      <c r="AB3" s="481"/>
      <c r="AC3" s="479" t="s">
        <v>14</v>
      </c>
      <c r="AD3" s="480"/>
      <c r="AE3" s="481"/>
      <c r="AF3" s="479" t="s">
        <v>14</v>
      </c>
      <c r="AG3" s="480"/>
      <c r="AH3" s="481"/>
      <c r="AI3" s="286" t="s">
        <v>92</v>
      </c>
      <c r="AJ3" s="286"/>
      <c r="AK3" s="287"/>
      <c r="AL3" s="286" t="s">
        <v>93</v>
      </c>
      <c r="AM3" s="286"/>
      <c r="AN3" s="287"/>
      <c r="AO3" s="286" t="s">
        <v>97</v>
      </c>
      <c r="AP3" s="286"/>
      <c r="AQ3" s="287"/>
      <c r="AR3" s="286" t="s">
        <v>94</v>
      </c>
      <c r="AS3" s="286"/>
      <c r="AT3" s="287"/>
      <c r="AU3" s="479" t="s">
        <v>14</v>
      </c>
      <c r="AV3" s="480"/>
      <c r="AW3" s="481"/>
      <c r="AX3" s="497" t="s">
        <v>99</v>
      </c>
      <c r="AY3" s="497"/>
      <c r="AZ3" s="495" t="s">
        <v>14</v>
      </c>
      <c r="BA3" s="495"/>
      <c r="BB3" s="496"/>
      <c r="BC3" s="495" t="s">
        <v>14</v>
      </c>
      <c r="BD3" s="495"/>
      <c r="BE3" s="496"/>
      <c r="BF3" s="495" t="s">
        <v>14</v>
      </c>
      <c r="BG3" s="495"/>
      <c r="BH3" s="496"/>
      <c r="BI3" s="495" t="s">
        <v>14</v>
      </c>
      <c r="BJ3" s="495"/>
      <c r="BK3" s="496"/>
      <c r="BL3" s="495" t="s">
        <v>14</v>
      </c>
      <c r="BM3" s="495"/>
      <c r="BN3" s="496"/>
    </row>
    <row r="4" spans="1:66" ht="14.5" customHeight="1" x14ac:dyDescent="0.35">
      <c r="A4" s="419" t="s">
        <v>13</v>
      </c>
      <c r="B4" s="66"/>
      <c r="C4" s="66"/>
      <c r="D4" s="66"/>
      <c r="E4" s="482" t="s">
        <v>15</v>
      </c>
      <c r="F4" s="482"/>
      <c r="G4" s="483"/>
      <c r="H4" s="476" t="s">
        <v>16</v>
      </c>
      <c r="I4" s="477"/>
      <c r="J4" s="478"/>
      <c r="K4" s="476" t="s">
        <v>17</v>
      </c>
      <c r="L4" s="477"/>
      <c r="M4" s="478"/>
      <c r="N4" s="476" t="s">
        <v>18</v>
      </c>
      <c r="O4" s="477"/>
      <c r="P4" s="478"/>
      <c r="Q4" s="476" t="s">
        <v>19</v>
      </c>
      <c r="R4" s="477"/>
      <c r="S4" s="478"/>
      <c r="T4" s="476" t="s">
        <v>20</v>
      </c>
      <c r="U4" s="477"/>
      <c r="V4" s="478"/>
      <c r="W4" s="473" t="s">
        <v>21</v>
      </c>
      <c r="X4" s="474"/>
      <c r="Y4" s="475"/>
      <c r="Z4" s="473" t="s">
        <v>22</v>
      </c>
      <c r="AA4" s="474"/>
      <c r="AB4" s="475"/>
      <c r="AC4" s="473" t="s">
        <v>23</v>
      </c>
      <c r="AD4" s="474"/>
      <c r="AE4" s="475"/>
      <c r="AF4" s="473" t="s">
        <v>24</v>
      </c>
      <c r="AG4" s="474"/>
      <c r="AH4" s="475"/>
      <c r="AI4" s="282" t="s">
        <v>45</v>
      </c>
      <c r="AJ4" s="282"/>
      <c r="AK4" s="7"/>
      <c r="AL4" s="282" t="s">
        <v>46</v>
      </c>
      <c r="AM4" s="282"/>
      <c r="AN4" s="7"/>
      <c r="AO4" s="282" t="s">
        <v>47</v>
      </c>
      <c r="AP4" s="282"/>
      <c r="AQ4" s="7"/>
      <c r="AR4" s="282" t="s">
        <v>48</v>
      </c>
      <c r="AS4" s="282"/>
      <c r="AT4" s="7"/>
      <c r="AU4" s="473" t="s">
        <v>95</v>
      </c>
      <c r="AV4" s="474"/>
      <c r="AW4" s="475"/>
      <c r="AX4" s="498"/>
      <c r="AY4" s="498"/>
      <c r="AZ4" s="69"/>
      <c r="BA4" s="69" t="s">
        <v>65</v>
      </c>
      <c r="BB4" s="285"/>
      <c r="BC4" s="69"/>
      <c r="BD4" s="69" t="s">
        <v>67</v>
      </c>
      <c r="BE4" s="285"/>
      <c r="BF4" s="69"/>
      <c r="BG4" s="69" t="s">
        <v>68</v>
      </c>
      <c r="BH4" s="285"/>
      <c r="BI4" s="69"/>
      <c r="BJ4" s="69" t="s">
        <v>69</v>
      </c>
      <c r="BK4" s="285"/>
      <c r="BL4" s="69"/>
      <c r="BM4" s="69" t="s">
        <v>70</v>
      </c>
      <c r="BN4" s="285"/>
    </row>
    <row r="5" spans="1:66" ht="14.5" customHeight="1" x14ac:dyDescent="0.35">
      <c r="A5" s="2"/>
      <c r="B5" s="2"/>
      <c r="C5" s="2"/>
      <c r="D5" s="2"/>
      <c r="E5" s="52" t="s">
        <v>25</v>
      </c>
      <c r="F5" s="52" t="s">
        <v>26</v>
      </c>
      <c r="G5" s="187" t="s">
        <v>43</v>
      </c>
      <c r="H5" s="52" t="s">
        <v>25</v>
      </c>
      <c r="I5" s="52" t="s">
        <v>26</v>
      </c>
      <c r="J5" s="187" t="s">
        <v>43</v>
      </c>
      <c r="K5" s="52" t="s">
        <v>25</v>
      </c>
      <c r="L5" s="52" t="s">
        <v>26</v>
      </c>
      <c r="M5" s="187" t="s">
        <v>43</v>
      </c>
      <c r="N5" s="52" t="s">
        <v>25</v>
      </c>
      <c r="O5" s="52" t="s">
        <v>26</v>
      </c>
      <c r="P5" s="187" t="s">
        <v>43</v>
      </c>
      <c r="Q5" s="52" t="s">
        <v>25</v>
      </c>
      <c r="R5" s="52" t="s">
        <v>26</v>
      </c>
      <c r="S5" s="187" t="s">
        <v>43</v>
      </c>
      <c r="T5" s="52" t="s">
        <v>25</v>
      </c>
      <c r="U5" s="52" t="s">
        <v>26</v>
      </c>
      <c r="V5" s="187" t="s">
        <v>43</v>
      </c>
      <c r="W5" s="256" t="s">
        <v>25</v>
      </c>
      <c r="X5" s="256" t="s">
        <v>26</v>
      </c>
      <c r="Y5" s="257" t="s">
        <v>43</v>
      </c>
      <c r="Z5" s="256" t="s">
        <v>25</v>
      </c>
      <c r="AA5" s="256" t="s">
        <v>26</v>
      </c>
      <c r="AB5" s="257" t="s">
        <v>43</v>
      </c>
      <c r="AC5" s="256" t="s">
        <v>25</v>
      </c>
      <c r="AD5" s="256" t="s">
        <v>26</v>
      </c>
      <c r="AE5" s="257" t="s">
        <v>43</v>
      </c>
      <c r="AF5" s="256" t="s">
        <v>25</v>
      </c>
      <c r="AG5" s="256" t="s">
        <v>26</v>
      </c>
      <c r="AH5" s="257" t="s">
        <v>43</v>
      </c>
      <c r="AI5" s="256" t="s">
        <v>25</v>
      </c>
      <c r="AJ5" s="256" t="s">
        <v>26</v>
      </c>
      <c r="AK5" s="257" t="s">
        <v>43</v>
      </c>
      <c r="AL5" s="256" t="s">
        <v>25</v>
      </c>
      <c r="AM5" s="256" t="s">
        <v>26</v>
      </c>
      <c r="AN5" s="257" t="s">
        <v>43</v>
      </c>
      <c r="AO5" s="256" t="s">
        <v>25</v>
      </c>
      <c r="AP5" s="256" t="s">
        <v>26</v>
      </c>
      <c r="AQ5" s="257" t="s">
        <v>43</v>
      </c>
      <c r="AR5" s="256" t="s">
        <v>25</v>
      </c>
      <c r="AS5" s="256" t="s">
        <v>26</v>
      </c>
      <c r="AT5" s="257" t="s">
        <v>43</v>
      </c>
      <c r="AU5" s="256" t="s">
        <v>25</v>
      </c>
      <c r="AV5" s="256" t="s">
        <v>26</v>
      </c>
      <c r="AW5" s="257" t="s">
        <v>43</v>
      </c>
      <c r="AX5" s="277" t="s">
        <v>25</v>
      </c>
      <c r="AY5" s="277" t="s">
        <v>26</v>
      </c>
      <c r="AZ5" s="6" t="s">
        <v>25</v>
      </c>
      <c r="BA5" s="6" t="s">
        <v>26</v>
      </c>
      <c r="BB5" s="5" t="s">
        <v>43</v>
      </c>
      <c r="BC5" s="6" t="s">
        <v>25</v>
      </c>
      <c r="BD5" s="6" t="s">
        <v>26</v>
      </c>
      <c r="BE5" s="5" t="s">
        <v>43</v>
      </c>
      <c r="BF5" s="6" t="s">
        <v>25</v>
      </c>
      <c r="BG5" s="6" t="s">
        <v>26</v>
      </c>
      <c r="BH5" s="5" t="s">
        <v>43</v>
      </c>
      <c r="BI5" s="6" t="s">
        <v>25</v>
      </c>
      <c r="BJ5" s="6" t="s">
        <v>26</v>
      </c>
      <c r="BK5" s="5" t="s">
        <v>43</v>
      </c>
      <c r="BL5" s="6" t="s">
        <v>25</v>
      </c>
      <c r="BM5" s="6" t="s">
        <v>26</v>
      </c>
      <c r="BN5" s="5" t="s">
        <v>43</v>
      </c>
    </row>
    <row r="6" spans="1:66" ht="14.5" customHeight="1" x14ac:dyDescent="0.35">
      <c r="E6" s="237"/>
      <c r="F6" s="238" t="s">
        <v>54</v>
      </c>
      <c r="G6" s="239"/>
      <c r="H6" s="109"/>
      <c r="I6" s="109" t="s">
        <v>55</v>
      </c>
      <c r="J6" s="418"/>
      <c r="K6" s="109"/>
      <c r="L6" s="109" t="s">
        <v>56</v>
      </c>
      <c r="M6" s="418"/>
      <c r="N6" s="109"/>
      <c r="O6" s="109" t="s">
        <v>57</v>
      </c>
      <c r="P6" s="418"/>
      <c r="Q6" s="109"/>
      <c r="R6" s="109" t="s">
        <v>58</v>
      </c>
      <c r="S6" s="418"/>
      <c r="T6" s="109"/>
      <c r="U6" s="109" t="s">
        <v>59</v>
      </c>
      <c r="V6" s="418"/>
      <c r="W6" s="290"/>
      <c r="X6" s="291" t="s">
        <v>60</v>
      </c>
      <c r="Y6" s="292"/>
      <c r="Z6" s="291"/>
      <c r="AA6" s="291" t="s">
        <v>61</v>
      </c>
      <c r="AB6" s="292"/>
      <c r="AC6" s="291"/>
      <c r="AD6" s="291" t="s">
        <v>62</v>
      </c>
      <c r="AE6" s="292"/>
      <c r="AF6" s="291"/>
      <c r="AG6" s="291" t="s">
        <v>63</v>
      </c>
      <c r="AH6" s="292"/>
      <c r="AI6" s="488" t="s">
        <v>64</v>
      </c>
      <c r="AJ6" s="489"/>
      <c r="AK6" s="489"/>
      <c r="AL6" s="489"/>
      <c r="AM6" s="489"/>
      <c r="AN6" s="489"/>
      <c r="AO6" s="489"/>
      <c r="AP6" s="489"/>
      <c r="AQ6" s="489"/>
      <c r="AR6" s="489"/>
      <c r="AS6" s="489"/>
      <c r="AT6" s="489"/>
      <c r="AU6" s="291"/>
      <c r="AV6" s="291" t="s">
        <v>96</v>
      </c>
      <c r="AW6" s="292"/>
      <c r="AX6" s="288"/>
      <c r="AY6" s="288"/>
      <c r="AZ6" s="291"/>
      <c r="BA6" s="291" t="s">
        <v>66</v>
      </c>
      <c r="BB6" s="420"/>
      <c r="BC6" s="291"/>
      <c r="BD6" s="291" t="s">
        <v>71</v>
      </c>
      <c r="BE6" s="420"/>
      <c r="BF6" s="291"/>
      <c r="BG6" s="291" t="s">
        <v>72</v>
      </c>
      <c r="BH6" s="420"/>
      <c r="BI6" s="291"/>
      <c r="BJ6" s="291" t="s">
        <v>73</v>
      </c>
      <c r="BK6" s="420"/>
      <c r="BL6" s="291"/>
      <c r="BM6" s="291" t="s">
        <v>74</v>
      </c>
      <c r="BN6" s="420"/>
    </row>
    <row r="7" spans="1:66" ht="15.5" x14ac:dyDescent="0.35">
      <c r="A7" s="258" t="s">
        <v>6</v>
      </c>
      <c r="B7" s="2"/>
      <c r="C7" s="2"/>
      <c r="D7" s="2"/>
      <c r="E7" s="259">
        <v>3499</v>
      </c>
      <c r="F7" s="259">
        <v>893</v>
      </c>
      <c r="G7" s="260">
        <f>E7+F7</f>
        <v>4392</v>
      </c>
      <c r="H7" s="259">
        <v>3649</v>
      </c>
      <c r="I7" s="259">
        <v>947</v>
      </c>
      <c r="J7" s="260">
        <f>H7+I7</f>
        <v>4596</v>
      </c>
      <c r="K7" s="259">
        <v>3891</v>
      </c>
      <c r="L7" s="259">
        <v>824</v>
      </c>
      <c r="M7" s="260">
        <f>K7+L7</f>
        <v>4715</v>
      </c>
      <c r="N7" s="259">
        <v>3925</v>
      </c>
      <c r="O7" s="259">
        <v>723</v>
      </c>
      <c r="P7" s="260">
        <f>N7+O7</f>
        <v>4648</v>
      </c>
      <c r="Q7" s="259">
        <v>3931</v>
      </c>
      <c r="R7" s="259">
        <v>603</v>
      </c>
      <c r="S7" s="260">
        <f>Q7+R7</f>
        <v>4534</v>
      </c>
      <c r="T7" s="259">
        <v>3866</v>
      </c>
      <c r="U7" s="259">
        <v>609</v>
      </c>
      <c r="V7" s="260">
        <f>T7+U7</f>
        <v>4475</v>
      </c>
      <c r="W7" s="259">
        <v>2814</v>
      </c>
      <c r="X7" s="259">
        <v>407</v>
      </c>
      <c r="Y7" s="260">
        <f>W7+X7</f>
        <v>3221</v>
      </c>
      <c r="Z7" s="259">
        <v>2001</v>
      </c>
      <c r="AA7" s="259">
        <v>292</v>
      </c>
      <c r="AB7" s="260">
        <f>Z7+AA7</f>
        <v>2293</v>
      </c>
      <c r="AC7" s="259">
        <v>1514</v>
      </c>
      <c r="AD7" s="259">
        <v>220</v>
      </c>
      <c r="AE7" s="260">
        <f>AC7+AD7</f>
        <v>1734</v>
      </c>
      <c r="AF7" s="259">
        <v>959</v>
      </c>
      <c r="AG7" s="259">
        <v>167</v>
      </c>
      <c r="AH7" s="260">
        <f>AF7+AG7</f>
        <v>1126</v>
      </c>
      <c r="AI7" s="6">
        <v>211</v>
      </c>
      <c r="AJ7" s="6">
        <v>38</v>
      </c>
      <c r="AK7" s="5">
        <f>AJ7+AI7</f>
        <v>249</v>
      </c>
      <c r="AL7" s="6">
        <v>199</v>
      </c>
      <c r="AM7" s="6">
        <v>37</v>
      </c>
      <c r="AN7" s="5">
        <f>AM7+AL7</f>
        <v>236</v>
      </c>
      <c r="AO7" s="6">
        <v>92</v>
      </c>
      <c r="AP7" s="6">
        <v>32</v>
      </c>
      <c r="AQ7" s="5">
        <f>AP7+AO7</f>
        <v>124</v>
      </c>
      <c r="AR7" s="6">
        <v>208</v>
      </c>
      <c r="AS7" s="6">
        <v>31</v>
      </c>
      <c r="AT7" s="6">
        <f>AS7+AR7</f>
        <v>239</v>
      </c>
      <c r="AU7" s="259">
        <f>AI7+AL7+AO7+AR7</f>
        <v>710</v>
      </c>
      <c r="AV7" s="259">
        <f>AJ7+AM7+AP7+AS7</f>
        <v>138</v>
      </c>
      <c r="AW7" s="260">
        <f>AU7+AV7</f>
        <v>848</v>
      </c>
      <c r="AX7" s="277"/>
      <c r="AY7" s="277"/>
      <c r="AZ7" s="259">
        <f>AU7*(1+$AX8)</f>
        <v>615.73256426206012</v>
      </c>
      <c r="BA7" s="259">
        <f>AV7*(1+$AY8)</f>
        <v>115.59715041821762</v>
      </c>
      <c r="BB7" s="260">
        <f>AZ7+BA7</f>
        <v>731.32971468027779</v>
      </c>
      <c r="BC7" s="259">
        <f>AZ7*(1+$AX8-0.05)</f>
        <v>503.19448543863223</v>
      </c>
      <c r="BD7" s="259">
        <f>BA7*(1+$AY8)</f>
        <v>96.83116800588428</v>
      </c>
      <c r="BE7" s="260">
        <f>BC7+BD7</f>
        <v>600.02565344451648</v>
      </c>
      <c r="BF7" s="259">
        <f>BC7*(1+$AX8-0.05)</f>
        <v>411.22510789941612</v>
      </c>
      <c r="BG7" s="259">
        <f>BD7*(1+$AY8)</f>
        <v>81.111645602521065</v>
      </c>
      <c r="BH7" s="260">
        <f>BF7+BG7</f>
        <v>492.33675350193721</v>
      </c>
      <c r="BI7" s="259">
        <f>BF7*(1+$AX8-0.05)</f>
        <v>336.06506879636703</v>
      </c>
      <c r="BJ7" s="259">
        <f>BG7*(1+$AY8)</f>
        <v>67.944022444810059</v>
      </c>
      <c r="BK7" s="260">
        <f>BI7+BJ7</f>
        <v>404.00909124117709</v>
      </c>
      <c r="BL7" s="259">
        <f>BI7*(1+$AX8+0.05)</f>
        <v>308.248614804456</v>
      </c>
      <c r="BM7" s="259">
        <f>BJ7*(1+$AY8)</f>
        <v>56.91402451138741</v>
      </c>
      <c r="BN7" s="260">
        <f>BL7+BM7</f>
        <v>365.16263931584342</v>
      </c>
    </row>
    <row r="8" spans="1:66" x14ac:dyDescent="0.35">
      <c r="A8" s="241" t="s">
        <v>28</v>
      </c>
      <c r="E8" s="53"/>
      <c r="F8" s="53"/>
      <c r="G8" s="242"/>
      <c r="H8" s="53">
        <f t="shared" ref="H8:J8" si="0">IFERROR(H7/E7-1,0)</f>
        <v>4.2869391254644285E-2</v>
      </c>
      <c r="I8" s="243">
        <f t="shared" si="0"/>
        <v>6.0470324748040261E-2</v>
      </c>
      <c r="J8" s="242">
        <f t="shared" si="0"/>
        <v>4.644808743169393E-2</v>
      </c>
      <c r="K8" s="53">
        <f>IFERROR(K7/H7-1,0)</f>
        <v>6.6319539599890343E-2</v>
      </c>
      <c r="L8" s="53">
        <f t="shared" ref="L8:AT8" si="1">IFERROR(L7/I7-1,0)</f>
        <v>-0.12988384371700101</v>
      </c>
      <c r="M8" s="242">
        <f t="shared" si="1"/>
        <v>2.5892080069625845E-2</v>
      </c>
      <c r="N8" s="53">
        <f t="shared" si="1"/>
        <v>8.7381135954767153E-3</v>
      </c>
      <c r="O8" s="53">
        <f t="shared" si="1"/>
        <v>-0.12257281553398058</v>
      </c>
      <c r="P8" s="242">
        <f t="shared" si="1"/>
        <v>-1.4209968186638333E-2</v>
      </c>
      <c r="Q8" s="53">
        <f t="shared" si="1"/>
        <v>1.5286624203820764E-3</v>
      </c>
      <c r="R8" s="53">
        <f t="shared" si="1"/>
        <v>-0.1659751037344398</v>
      </c>
      <c r="S8" s="242">
        <f t="shared" si="1"/>
        <v>-2.452667814113596E-2</v>
      </c>
      <c r="T8" s="53">
        <f t="shared" si="1"/>
        <v>-1.6535232765199748E-2</v>
      </c>
      <c r="U8" s="53">
        <f t="shared" si="1"/>
        <v>9.9502487562188602E-3</v>
      </c>
      <c r="V8" s="242">
        <f t="shared" si="1"/>
        <v>-1.3012792236435811E-2</v>
      </c>
      <c r="W8" s="53">
        <f t="shared" si="1"/>
        <v>-0.27211588204862902</v>
      </c>
      <c r="X8" s="53">
        <f t="shared" si="1"/>
        <v>-0.33169129720853863</v>
      </c>
      <c r="Y8" s="242">
        <f t="shared" si="1"/>
        <v>-0.28022346368715079</v>
      </c>
      <c r="Z8" s="53">
        <f t="shared" si="1"/>
        <v>-0.28891257995735609</v>
      </c>
      <c r="AA8" s="53">
        <f t="shared" si="1"/>
        <v>-0.28255528255528251</v>
      </c>
      <c r="AB8" s="242">
        <f t="shared" si="1"/>
        <v>-0.28810928283141879</v>
      </c>
      <c r="AC8" s="53">
        <f t="shared" si="1"/>
        <v>-0.24337831084457773</v>
      </c>
      <c r="AD8" s="53">
        <f t="shared" si="1"/>
        <v>-0.24657534246575341</v>
      </c>
      <c r="AE8" s="242">
        <f t="shared" si="1"/>
        <v>-0.24378543392935015</v>
      </c>
      <c r="AF8" s="53">
        <f t="shared" si="1"/>
        <v>-0.3665785997357992</v>
      </c>
      <c r="AG8" s="53">
        <f t="shared" si="1"/>
        <v>-0.24090909090909096</v>
      </c>
      <c r="AH8" s="242">
        <f t="shared" si="1"/>
        <v>-0.35063437139561704</v>
      </c>
      <c r="AI8" s="53">
        <f>IFERROR(AI7/AF7-1,0)</f>
        <v>-0.77997914494264853</v>
      </c>
      <c r="AJ8" s="53">
        <f t="shared" si="1"/>
        <v>-0.77245508982035926</v>
      </c>
      <c r="AK8" s="242">
        <f t="shared" si="1"/>
        <v>-0.77886323268206037</v>
      </c>
      <c r="AL8" s="53">
        <f t="shared" si="1"/>
        <v>-5.6872037914691975E-2</v>
      </c>
      <c r="AM8" s="53">
        <f t="shared" si="1"/>
        <v>-2.6315789473684181E-2</v>
      </c>
      <c r="AN8" s="242">
        <f t="shared" si="1"/>
        <v>-5.2208835341365445E-2</v>
      </c>
      <c r="AO8" s="53">
        <f t="shared" si="1"/>
        <v>-0.53768844221105527</v>
      </c>
      <c r="AP8" s="53">
        <f t="shared" si="1"/>
        <v>-0.13513513513513509</v>
      </c>
      <c r="AQ8" s="242">
        <f t="shared" si="1"/>
        <v>-0.47457627118644063</v>
      </c>
      <c r="AR8" s="53">
        <f t="shared" si="1"/>
        <v>1.2608695652173911</v>
      </c>
      <c r="AS8" s="53">
        <f t="shared" si="1"/>
        <v>-3.125E-2</v>
      </c>
      <c r="AT8" s="242">
        <f t="shared" si="1"/>
        <v>0.92741935483870974</v>
      </c>
      <c r="AU8" s="283">
        <f>IFERROR(AU7/AF7-1,0)</f>
        <v>-0.25964546402502608</v>
      </c>
      <c r="AV8" s="283">
        <f t="shared" ref="AV8" si="2">IFERROR(AV7/AG7-1,0)</f>
        <v>-0.17365269461077848</v>
      </c>
      <c r="AW8" s="242">
        <f>IFERROR(AW7/AH7-1,0)</f>
        <v>-0.24689165186500883</v>
      </c>
      <c r="AX8" s="210">
        <f>AVERAGE(Q8,T8,W8,Z8,AC8,AF8,AU8,N8,K8,H8)</f>
        <v>-0.13277103625061945</v>
      </c>
      <c r="AY8" s="210">
        <f>AVERAGE(R8,U8,X8,AA8,AD8,AG8,AV8,O8,L8,I8)</f>
        <v>-0.16233948972306067</v>
      </c>
      <c r="AZ8" s="236"/>
      <c r="BA8" s="236"/>
      <c r="BB8" s="240"/>
      <c r="BC8" s="236"/>
      <c r="BD8" s="236"/>
      <c r="BE8" s="240"/>
      <c r="BF8" s="236"/>
      <c r="BG8" s="236"/>
      <c r="BH8" s="240"/>
      <c r="BI8" s="236"/>
      <c r="BJ8" s="236"/>
      <c r="BK8" s="240"/>
      <c r="BL8" s="236"/>
      <c r="BM8" s="236"/>
      <c r="BN8" s="240"/>
    </row>
    <row r="9" spans="1:66" x14ac:dyDescent="0.35">
      <c r="A9" s="244" t="s">
        <v>29</v>
      </c>
      <c r="B9" s="245"/>
      <c r="E9" s="46"/>
      <c r="F9" s="46"/>
      <c r="G9" s="246"/>
      <c r="H9" s="247">
        <f>H8</f>
        <v>4.2869391254644285E-2</v>
      </c>
      <c r="I9" s="247">
        <f t="shared" ref="I9:AH9" si="3">I8</f>
        <v>6.0470324748040261E-2</v>
      </c>
      <c r="J9" s="248">
        <f t="shared" si="3"/>
        <v>4.644808743169393E-2</v>
      </c>
      <c r="K9" s="247">
        <f t="shared" si="3"/>
        <v>6.6319539599890343E-2</v>
      </c>
      <c r="L9" s="247">
        <f t="shared" si="3"/>
        <v>-0.12988384371700101</v>
      </c>
      <c r="M9" s="248">
        <f t="shared" si="3"/>
        <v>2.5892080069625845E-2</v>
      </c>
      <c r="N9" s="247">
        <f t="shared" si="3"/>
        <v>8.7381135954767153E-3</v>
      </c>
      <c r="O9" s="247">
        <f t="shared" si="3"/>
        <v>-0.12257281553398058</v>
      </c>
      <c r="P9" s="248">
        <f t="shared" si="3"/>
        <v>-1.4209968186638333E-2</v>
      </c>
      <c r="Q9" s="247">
        <f t="shared" si="3"/>
        <v>1.5286624203820764E-3</v>
      </c>
      <c r="R9" s="247">
        <f t="shared" si="3"/>
        <v>-0.1659751037344398</v>
      </c>
      <c r="S9" s="248">
        <f t="shared" si="3"/>
        <v>-2.452667814113596E-2</v>
      </c>
      <c r="T9" s="247">
        <f t="shared" si="3"/>
        <v>-1.6535232765199748E-2</v>
      </c>
      <c r="U9" s="247">
        <f t="shared" si="3"/>
        <v>9.9502487562188602E-3</v>
      </c>
      <c r="V9" s="248">
        <f t="shared" si="3"/>
        <v>-1.3012792236435811E-2</v>
      </c>
      <c r="W9" s="247">
        <f t="shared" si="3"/>
        <v>-0.27211588204862902</v>
      </c>
      <c r="X9" s="247">
        <f t="shared" si="3"/>
        <v>-0.33169129720853863</v>
      </c>
      <c r="Y9" s="248">
        <f t="shared" si="3"/>
        <v>-0.28022346368715079</v>
      </c>
      <c r="Z9" s="247">
        <f t="shared" si="3"/>
        <v>-0.28891257995735609</v>
      </c>
      <c r="AA9" s="247">
        <f t="shared" si="3"/>
        <v>-0.28255528255528251</v>
      </c>
      <c r="AB9" s="248">
        <f t="shared" si="3"/>
        <v>-0.28810928283141879</v>
      </c>
      <c r="AC9" s="247">
        <f t="shared" si="3"/>
        <v>-0.24337831084457773</v>
      </c>
      <c r="AD9" s="247">
        <f t="shared" si="3"/>
        <v>-0.24657534246575341</v>
      </c>
      <c r="AE9" s="248">
        <f t="shared" si="3"/>
        <v>-0.24378543392935015</v>
      </c>
      <c r="AF9" s="247">
        <f t="shared" si="3"/>
        <v>-0.3665785997357992</v>
      </c>
      <c r="AG9" s="247">
        <f>AG8</f>
        <v>-0.24090909090909096</v>
      </c>
      <c r="AH9" s="248">
        <f t="shared" si="3"/>
        <v>-0.35063437139561704</v>
      </c>
      <c r="AI9" s="249">
        <f>AI8</f>
        <v>-0.77997914494264853</v>
      </c>
      <c r="AJ9" s="249">
        <f t="shared" ref="AJ9:AT9" si="4">AJ8</f>
        <v>-0.77245508982035926</v>
      </c>
      <c r="AK9" s="249">
        <f t="shared" si="4"/>
        <v>-0.77886323268206037</v>
      </c>
      <c r="AL9" s="249">
        <f t="shared" si="4"/>
        <v>-5.6872037914691975E-2</v>
      </c>
      <c r="AM9" s="249">
        <f t="shared" si="4"/>
        <v>-2.6315789473684181E-2</v>
      </c>
      <c r="AN9" s="249">
        <f t="shared" si="4"/>
        <v>-5.2208835341365445E-2</v>
      </c>
      <c r="AO9" s="249">
        <f t="shared" si="4"/>
        <v>-0.53768844221105527</v>
      </c>
      <c r="AP9" s="249">
        <f t="shared" si="4"/>
        <v>-0.13513513513513509</v>
      </c>
      <c r="AQ9" s="249">
        <f t="shared" si="4"/>
        <v>-0.47457627118644063</v>
      </c>
      <c r="AR9" s="249">
        <f t="shared" si="4"/>
        <v>1.2608695652173911</v>
      </c>
      <c r="AS9" s="249">
        <f t="shared" si="4"/>
        <v>-3.125E-2</v>
      </c>
      <c r="AT9" s="249">
        <f t="shared" si="4"/>
        <v>0.92741935483870974</v>
      </c>
      <c r="AU9" s="250">
        <f>AU8</f>
        <v>-0.25964546402502608</v>
      </c>
      <c r="AV9" s="250">
        <f t="shared" ref="AV9" si="5">AV8</f>
        <v>-0.17365269461077848</v>
      </c>
      <c r="AW9" s="248">
        <f t="shared" ref="AW9" si="6">AW8</f>
        <v>-0.24689165186500883</v>
      </c>
      <c r="AX9" s="278"/>
      <c r="AY9" s="278"/>
      <c r="AZ9" s="236"/>
      <c r="BA9" s="236"/>
      <c r="BB9" s="240"/>
      <c r="BC9" s="236"/>
      <c r="BD9" s="236"/>
      <c r="BE9" s="240"/>
      <c r="BF9" s="236"/>
      <c r="BG9" s="236"/>
      <c r="BH9" s="240"/>
      <c r="BI9" s="236"/>
      <c r="BJ9" s="236"/>
      <c r="BK9" s="240"/>
      <c r="BL9" s="236"/>
      <c r="BM9" s="236"/>
      <c r="BN9" s="240"/>
    </row>
    <row r="10" spans="1:66" x14ac:dyDescent="0.35">
      <c r="A10" s="69" t="s">
        <v>37</v>
      </c>
      <c r="B10" s="2"/>
      <c r="C10" s="2"/>
      <c r="D10" s="2"/>
      <c r="E10" s="259">
        <v>1169</v>
      </c>
      <c r="F10" s="259">
        <v>229</v>
      </c>
      <c r="G10" s="260">
        <f>E10+F10</f>
        <v>1398</v>
      </c>
      <c r="H10" s="259">
        <v>839</v>
      </c>
      <c r="I10" s="259">
        <v>320</v>
      </c>
      <c r="J10" s="260">
        <f>H10+I10</f>
        <v>1159</v>
      </c>
      <c r="K10" s="259">
        <v>793</v>
      </c>
      <c r="L10" s="259">
        <v>256</v>
      </c>
      <c r="M10" s="260">
        <f>K10+L10</f>
        <v>1049</v>
      </c>
      <c r="N10" s="259">
        <v>534</v>
      </c>
      <c r="O10" s="259">
        <v>231</v>
      </c>
      <c r="P10" s="260">
        <f>N10+O10</f>
        <v>765</v>
      </c>
      <c r="Q10" s="259">
        <v>369</v>
      </c>
      <c r="R10" s="259">
        <v>180</v>
      </c>
      <c r="S10" s="260">
        <f>Q10+R10</f>
        <v>549</v>
      </c>
      <c r="T10" s="259">
        <v>223</v>
      </c>
      <c r="U10" s="259">
        <v>142</v>
      </c>
      <c r="V10" s="260">
        <f>T10+U10</f>
        <v>365</v>
      </c>
      <c r="W10" s="259">
        <v>178</v>
      </c>
      <c r="X10" s="259">
        <v>86</v>
      </c>
      <c r="Y10" s="260">
        <f>W10+X10</f>
        <v>264</v>
      </c>
      <c r="Z10" s="259">
        <v>144</v>
      </c>
      <c r="AA10" s="259">
        <v>81</v>
      </c>
      <c r="AB10" s="260">
        <f>Z10+AA10</f>
        <v>225</v>
      </c>
      <c r="AC10" s="259">
        <v>101</v>
      </c>
      <c r="AD10" s="259">
        <v>67</v>
      </c>
      <c r="AE10" s="260">
        <f>AC10+AD10</f>
        <v>168</v>
      </c>
      <c r="AF10" s="259">
        <v>87</v>
      </c>
      <c r="AG10" s="259">
        <v>57</v>
      </c>
      <c r="AH10" s="260">
        <f>AF10+AG10</f>
        <v>144</v>
      </c>
      <c r="AI10" s="6">
        <v>0</v>
      </c>
      <c r="AJ10" s="6">
        <v>0</v>
      </c>
      <c r="AK10" s="5">
        <f>AJ10+AI10</f>
        <v>0</v>
      </c>
      <c r="AL10" s="6">
        <v>0</v>
      </c>
      <c r="AM10" s="6">
        <v>0</v>
      </c>
      <c r="AN10" s="5">
        <f>AM10+AL10</f>
        <v>0</v>
      </c>
      <c r="AO10" s="6">
        <v>0</v>
      </c>
      <c r="AP10" s="6">
        <v>0</v>
      </c>
      <c r="AQ10" s="5">
        <f>AP10+AO10</f>
        <v>0</v>
      </c>
      <c r="AR10" s="6">
        <v>0</v>
      </c>
      <c r="AS10" s="6">
        <v>0</v>
      </c>
      <c r="AT10" s="5">
        <f>AS10+AR10</f>
        <v>0</v>
      </c>
      <c r="AU10" s="259">
        <f>AI10+AL10+AO10+AR10</f>
        <v>0</v>
      </c>
      <c r="AV10" s="259">
        <f>AJ10+AM10+AP10+AS10</f>
        <v>0</v>
      </c>
      <c r="AW10" s="260">
        <f>AU10+AV10</f>
        <v>0</v>
      </c>
      <c r="AX10" s="277"/>
      <c r="AY10" s="277"/>
      <c r="AZ10" s="259">
        <f>AU10*(1+AX11)</f>
        <v>0</v>
      </c>
      <c r="BA10" s="259">
        <f>AW10*(1+AY11)</f>
        <v>0</v>
      </c>
      <c r="BB10" s="260">
        <f>AZ10+BA10</f>
        <v>0</v>
      </c>
      <c r="BC10" s="259">
        <f>AZ10*(1+AX11)</f>
        <v>0</v>
      </c>
      <c r="BD10" s="259">
        <f>BA10*(1+$AY11)</f>
        <v>0</v>
      </c>
      <c r="BE10" s="260">
        <f>BC10+BD10</f>
        <v>0</v>
      </c>
      <c r="BF10" s="259">
        <f>BC10*(1+BA11)</f>
        <v>0</v>
      </c>
      <c r="BG10" s="259">
        <f>BD10*(1+$AY11)</f>
        <v>0</v>
      </c>
      <c r="BH10" s="260">
        <f>BF10+BG10</f>
        <v>0</v>
      </c>
      <c r="BI10" s="259">
        <f>BF10*(1+BD11)</f>
        <v>0</v>
      </c>
      <c r="BJ10" s="259">
        <f>BG10*(1+$AY11)</f>
        <v>0</v>
      </c>
      <c r="BK10" s="260">
        <f>BI10+BJ10</f>
        <v>0</v>
      </c>
      <c r="BL10" s="259">
        <f>BI10*(1+BG11)</f>
        <v>0</v>
      </c>
      <c r="BM10" s="259">
        <f>BJ10*(1+$AY11)</f>
        <v>0</v>
      </c>
      <c r="BN10" s="260">
        <f>BL10+BM10</f>
        <v>0</v>
      </c>
    </row>
    <row r="11" spans="1:66" x14ac:dyDescent="0.35">
      <c r="A11" s="241" t="s">
        <v>28</v>
      </c>
      <c r="E11" s="53"/>
      <c r="F11" s="53"/>
      <c r="G11" s="242"/>
      <c r="H11" s="53">
        <f t="shared" ref="H11" si="7">IFERROR(H10/E10-1,0)</f>
        <v>-0.28229255774165951</v>
      </c>
      <c r="I11" s="53">
        <f t="shared" ref="I11" si="8">IFERROR(I10/F10-1,0)</f>
        <v>0.39737991266375539</v>
      </c>
      <c r="J11" s="242">
        <f t="shared" ref="J11" si="9">IFERROR(J10/G10-1,0)</f>
        <v>-0.17095851216022895</v>
      </c>
      <c r="K11" s="53">
        <f>IFERROR(K10/H10-1,0)</f>
        <v>-5.4827175208581602E-2</v>
      </c>
      <c r="L11" s="53">
        <f t="shared" ref="L11" si="10">IFERROR(L10/I10-1,0)</f>
        <v>-0.19999999999999996</v>
      </c>
      <c r="M11" s="242">
        <f t="shared" ref="M11" si="11">IFERROR(M10/J10-1,0)</f>
        <v>-9.4909404659188956E-2</v>
      </c>
      <c r="N11" s="53">
        <f t="shared" ref="N11" si="12">IFERROR(N10/K10-1,0)</f>
        <v>-0.3266078184110971</v>
      </c>
      <c r="O11" s="53">
        <f t="shared" ref="O11" si="13">IFERROR(O10/L10-1,0)</f>
        <v>-9.765625E-2</v>
      </c>
      <c r="P11" s="242">
        <f t="shared" ref="P11" si="14">IFERROR(P10/M10-1,0)</f>
        <v>-0.27073403241182081</v>
      </c>
      <c r="Q11" s="53">
        <f t="shared" ref="Q11" si="15">IFERROR(Q10/N10-1,0)</f>
        <v>-0.3089887640449438</v>
      </c>
      <c r="R11" s="53">
        <f t="shared" ref="R11" si="16">IFERROR(R10/O10-1,0)</f>
        <v>-0.22077922077922074</v>
      </c>
      <c r="S11" s="242">
        <f t="shared" ref="S11" si="17">IFERROR(S10/P10-1,0)</f>
        <v>-0.28235294117647058</v>
      </c>
      <c r="T11" s="53">
        <f t="shared" ref="T11" si="18">IFERROR(T10/Q10-1,0)</f>
        <v>-0.39566395663956644</v>
      </c>
      <c r="U11" s="53">
        <f t="shared" ref="U11" si="19">IFERROR(U10/R10-1,0)</f>
        <v>-0.21111111111111114</v>
      </c>
      <c r="V11" s="242">
        <f t="shared" ref="V11" si="20">IFERROR(V10/S10-1,0)</f>
        <v>-0.33515482695810561</v>
      </c>
      <c r="W11" s="53">
        <f t="shared" ref="W11" si="21">IFERROR(W10/T10-1,0)</f>
        <v>-0.2017937219730942</v>
      </c>
      <c r="X11" s="53">
        <f t="shared" ref="X11" si="22">IFERROR(X10/U10-1,0)</f>
        <v>-0.39436619718309862</v>
      </c>
      <c r="Y11" s="242">
        <f t="shared" ref="Y11" si="23">IFERROR(Y10/V10-1,0)</f>
        <v>-0.27671232876712326</v>
      </c>
      <c r="Z11" s="53">
        <f t="shared" ref="Z11" si="24">IFERROR(Z10/W10-1,0)</f>
        <v>-0.1910112359550562</v>
      </c>
      <c r="AA11" s="53">
        <f t="shared" ref="AA11" si="25">IFERROR(AA10/X10-1,0)</f>
        <v>-5.8139534883720922E-2</v>
      </c>
      <c r="AB11" s="242">
        <f t="shared" ref="AB11" si="26">IFERROR(AB10/Y10-1,0)</f>
        <v>-0.14772727272727271</v>
      </c>
      <c r="AC11" s="53">
        <f t="shared" ref="AC11" si="27">IFERROR(AC10/Z10-1,0)</f>
        <v>-0.29861111111111116</v>
      </c>
      <c r="AD11" s="53">
        <f t="shared" ref="AD11" si="28">IFERROR(AD10/AA10-1,0)</f>
        <v>-0.1728395061728395</v>
      </c>
      <c r="AE11" s="242">
        <f t="shared" ref="AE11" si="29">IFERROR(AE10/AB10-1,0)</f>
        <v>-0.2533333333333333</v>
      </c>
      <c r="AF11" s="53">
        <f t="shared" ref="AF11" si="30">IFERROR(AF10/AC10-1,0)</f>
        <v>-0.13861386138613863</v>
      </c>
      <c r="AG11" s="53">
        <f t="shared" ref="AG11" si="31">IFERROR(AG10/AD10-1,0)</f>
        <v>-0.14925373134328357</v>
      </c>
      <c r="AH11" s="242">
        <f t="shared" ref="AH11" si="32">IFERROR(AH10/AE10-1,0)</f>
        <v>-0.1428571428571429</v>
      </c>
      <c r="AI11" s="53">
        <f>IFERROR(AI10/AF10-1,0)</f>
        <v>-1</v>
      </c>
      <c r="AJ11" s="53">
        <f t="shared" ref="AJ11:AK11" si="33">IFERROR(AJ10/AG10-1,0)</f>
        <v>-1</v>
      </c>
      <c r="AK11" s="242">
        <f t="shared" si="33"/>
        <v>-1</v>
      </c>
      <c r="AL11" s="53">
        <f t="shared" ref="AL11" si="34">IFERROR(AL10/AI10-1,0)</f>
        <v>0</v>
      </c>
      <c r="AM11" s="53">
        <f t="shared" ref="AM11:AN11" si="35">IFERROR(AM10/AJ10-1,0)</f>
        <v>0</v>
      </c>
      <c r="AN11" s="242">
        <f t="shared" si="35"/>
        <v>0</v>
      </c>
      <c r="AO11" s="53">
        <f t="shared" ref="AO11" si="36">IFERROR(AO10/AL10-1,0)</f>
        <v>0</v>
      </c>
      <c r="AP11" s="53">
        <f t="shared" ref="AP11" si="37">IFERROR(AP10/AM10-1,0)</f>
        <v>0</v>
      </c>
      <c r="AQ11" s="242">
        <f t="shared" ref="AQ11:AT11" si="38">IFERROR(AQ10/AN10-1,0)</f>
        <v>0</v>
      </c>
      <c r="AR11" s="53">
        <f t="shared" ref="AR11" si="39">IFERROR(AR10/AO10-1,0)</f>
        <v>0</v>
      </c>
      <c r="AS11" s="53">
        <f t="shared" si="38"/>
        <v>0</v>
      </c>
      <c r="AT11" s="242">
        <f t="shared" si="38"/>
        <v>0</v>
      </c>
      <c r="AU11" s="283">
        <f>MAX(0,IFERROR(AU10/AF10-1,0))</f>
        <v>0</v>
      </c>
      <c r="AV11" s="283">
        <f t="shared" ref="AV11:AW11" si="40">MAX(0,IFERROR(AV10/AG10-1,0))</f>
        <v>0</v>
      </c>
      <c r="AW11" s="242">
        <f t="shared" si="40"/>
        <v>0</v>
      </c>
      <c r="AX11" s="210">
        <f>AVERAGE(Q11,T11,W11,Z11,AC11,AF11,AU11,N11,K11,H11)</f>
        <v>-0.21984102024712487</v>
      </c>
      <c r="AY11" s="210">
        <f>AVERAGE(R11,U11,X11,AA11,AD11,AG11,AV11,O11,L11,I11)</f>
        <v>-0.1106765638809519</v>
      </c>
      <c r="AZ11" s="236"/>
      <c r="BA11" s="236"/>
      <c r="BB11" s="240"/>
      <c r="BC11" s="236"/>
      <c r="BD11" s="236"/>
      <c r="BE11" s="240"/>
      <c r="BF11" s="236"/>
      <c r="BG11" s="236"/>
      <c r="BH11" s="240"/>
      <c r="BI11" s="236"/>
      <c r="BJ11" s="236"/>
      <c r="BK11" s="240"/>
      <c r="BL11" s="236"/>
      <c r="BM11" s="236"/>
      <c r="BN11" s="240"/>
    </row>
    <row r="12" spans="1:66" x14ac:dyDescent="0.35">
      <c r="A12" s="244" t="s">
        <v>29</v>
      </c>
      <c r="E12" s="46"/>
      <c r="F12" s="46"/>
      <c r="G12" s="246"/>
      <c r="H12" s="247">
        <f>H11</f>
        <v>-0.28229255774165951</v>
      </c>
      <c r="I12" s="247">
        <f t="shared" ref="I12" si="41">I11</f>
        <v>0.39737991266375539</v>
      </c>
      <c r="J12" s="248">
        <f t="shared" ref="J12" si="42">J11</f>
        <v>-0.17095851216022895</v>
      </c>
      <c r="K12" s="247">
        <f t="shared" ref="K12" si="43">K11</f>
        <v>-5.4827175208581602E-2</v>
      </c>
      <c r="L12" s="247">
        <f t="shared" ref="L12" si="44">L11</f>
        <v>-0.19999999999999996</v>
      </c>
      <c r="M12" s="248">
        <f t="shared" ref="M12" si="45">M11</f>
        <v>-9.4909404659188956E-2</v>
      </c>
      <c r="N12" s="247">
        <f t="shared" ref="N12" si="46">N11</f>
        <v>-0.3266078184110971</v>
      </c>
      <c r="O12" s="247">
        <f t="shared" ref="O12" si="47">O11</f>
        <v>-9.765625E-2</v>
      </c>
      <c r="P12" s="248">
        <f t="shared" ref="P12" si="48">P11</f>
        <v>-0.27073403241182081</v>
      </c>
      <c r="Q12" s="247">
        <f t="shared" ref="Q12" si="49">Q11</f>
        <v>-0.3089887640449438</v>
      </c>
      <c r="R12" s="247">
        <f t="shared" ref="R12" si="50">R11</f>
        <v>-0.22077922077922074</v>
      </c>
      <c r="S12" s="248">
        <f t="shared" ref="S12" si="51">S11</f>
        <v>-0.28235294117647058</v>
      </c>
      <c r="T12" s="247">
        <f t="shared" ref="T12" si="52">T11</f>
        <v>-0.39566395663956644</v>
      </c>
      <c r="U12" s="247">
        <f t="shared" ref="U12" si="53">U11</f>
        <v>-0.21111111111111114</v>
      </c>
      <c r="V12" s="248">
        <f t="shared" ref="V12" si="54">V11</f>
        <v>-0.33515482695810561</v>
      </c>
      <c r="W12" s="247">
        <f t="shared" ref="W12" si="55">W11</f>
        <v>-0.2017937219730942</v>
      </c>
      <c r="X12" s="247">
        <f t="shared" ref="X12" si="56">X11</f>
        <v>-0.39436619718309862</v>
      </c>
      <c r="Y12" s="248">
        <f t="shared" ref="Y12" si="57">Y11</f>
        <v>-0.27671232876712326</v>
      </c>
      <c r="Z12" s="247">
        <f t="shared" ref="Z12" si="58">Z11</f>
        <v>-0.1910112359550562</v>
      </c>
      <c r="AA12" s="247">
        <f t="shared" ref="AA12" si="59">AA11</f>
        <v>-5.8139534883720922E-2</v>
      </c>
      <c r="AB12" s="248">
        <f t="shared" ref="AB12" si="60">AB11</f>
        <v>-0.14772727272727271</v>
      </c>
      <c r="AC12" s="247">
        <f t="shared" ref="AC12" si="61">AC11</f>
        <v>-0.29861111111111116</v>
      </c>
      <c r="AD12" s="247">
        <f t="shared" ref="AD12" si="62">AD11</f>
        <v>-0.1728395061728395</v>
      </c>
      <c r="AE12" s="248">
        <f t="shared" ref="AE12" si="63">AE11</f>
        <v>-0.2533333333333333</v>
      </c>
      <c r="AF12" s="247">
        <f t="shared" ref="AF12" si="64">AF11</f>
        <v>-0.13861386138613863</v>
      </c>
      <c r="AG12" s="247">
        <f t="shared" ref="AG12" si="65">AG11</f>
        <v>-0.14925373134328357</v>
      </c>
      <c r="AH12" s="248">
        <f t="shared" ref="AH12" si="66">AH11</f>
        <v>-0.1428571428571429</v>
      </c>
      <c r="AI12" s="249">
        <f>AI11</f>
        <v>-1</v>
      </c>
      <c r="AJ12" s="249">
        <f t="shared" ref="AJ12" si="67">AJ11</f>
        <v>-1</v>
      </c>
      <c r="AK12" s="249">
        <f t="shared" ref="AK12" si="68">AK11</f>
        <v>-1</v>
      </c>
      <c r="AL12" s="249">
        <f t="shared" ref="AL12" si="69">AL11</f>
        <v>0</v>
      </c>
      <c r="AM12" s="249">
        <f t="shared" ref="AM12" si="70">AM11</f>
        <v>0</v>
      </c>
      <c r="AN12" s="249">
        <f t="shared" ref="AN12" si="71">AN11</f>
        <v>0</v>
      </c>
      <c r="AO12" s="249">
        <f t="shared" ref="AO12" si="72">AO11</f>
        <v>0</v>
      </c>
      <c r="AP12" s="249">
        <f t="shared" ref="AP12" si="73">AP11</f>
        <v>0</v>
      </c>
      <c r="AQ12" s="249">
        <f t="shared" ref="AQ12" si="74">AQ11</f>
        <v>0</v>
      </c>
      <c r="AR12" s="249">
        <f t="shared" ref="AR12" si="75">AR11</f>
        <v>0</v>
      </c>
      <c r="AS12" s="249">
        <f t="shared" ref="AS12" si="76">AS11</f>
        <v>0</v>
      </c>
      <c r="AT12" s="249">
        <f t="shared" ref="AT12" si="77">AT11</f>
        <v>0</v>
      </c>
      <c r="AU12" s="250">
        <f>AU11</f>
        <v>0</v>
      </c>
      <c r="AV12" s="250">
        <f t="shared" ref="AV12" si="78">AV11</f>
        <v>0</v>
      </c>
      <c r="AW12" s="248">
        <f t="shared" ref="AW12" si="79">AW11</f>
        <v>0</v>
      </c>
      <c r="AX12" s="278"/>
      <c r="AY12" s="278"/>
      <c r="AZ12" s="236"/>
      <c r="BA12" s="236"/>
      <c r="BB12" s="240"/>
      <c r="BC12" s="236"/>
      <c r="BD12" s="236"/>
      <c r="BE12" s="240"/>
      <c r="BF12" s="236"/>
      <c r="BG12" s="236"/>
      <c r="BH12" s="240"/>
      <c r="BI12" s="236"/>
      <c r="BJ12" s="236"/>
      <c r="BK12" s="240"/>
      <c r="BL12" s="236"/>
      <c r="BM12" s="236"/>
      <c r="BN12" s="240"/>
    </row>
    <row r="13" spans="1:66" x14ac:dyDescent="0.35">
      <c r="A13" s="69" t="s">
        <v>31</v>
      </c>
      <c r="B13" s="261" t="s">
        <v>30</v>
      </c>
      <c r="C13" s="2"/>
      <c r="D13" s="2"/>
      <c r="E13" s="259">
        <v>4256</v>
      </c>
      <c r="F13" s="259">
        <v>295</v>
      </c>
      <c r="G13" s="260">
        <f>E13+F13</f>
        <v>4551</v>
      </c>
      <c r="H13" s="259">
        <v>4404</v>
      </c>
      <c r="I13" s="259">
        <v>284</v>
      </c>
      <c r="J13" s="260">
        <f>H13+I13</f>
        <v>4688</v>
      </c>
      <c r="K13" s="259">
        <v>5099</v>
      </c>
      <c r="L13" s="259">
        <v>265</v>
      </c>
      <c r="M13" s="260">
        <f>K13+L13</f>
        <v>5364</v>
      </c>
      <c r="N13" s="259">
        <v>5719</v>
      </c>
      <c r="O13" s="259">
        <v>246</v>
      </c>
      <c r="P13" s="260">
        <f>N13+O13</f>
        <v>5965</v>
      </c>
      <c r="Q13" s="259">
        <v>5206</v>
      </c>
      <c r="R13" s="259">
        <v>227</v>
      </c>
      <c r="S13" s="260">
        <f>Q13+R13</f>
        <v>5433</v>
      </c>
      <c r="T13" s="259">
        <v>4807</v>
      </c>
      <c r="U13" s="259">
        <v>207</v>
      </c>
      <c r="V13" s="260">
        <f>T13+U13</f>
        <v>5014</v>
      </c>
      <c r="W13" s="259">
        <v>5050</v>
      </c>
      <c r="X13" s="259">
        <v>176</v>
      </c>
      <c r="Y13" s="260">
        <f>W13+X13</f>
        <v>5226</v>
      </c>
      <c r="Z13" s="259">
        <v>4855</v>
      </c>
      <c r="AA13" s="259">
        <v>141</v>
      </c>
      <c r="AB13" s="260">
        <f>Z13+AA13</f>
        <v>4996</v>
      </c>
      <c r="AC13" s="259">
        <v>4352</v>
      </c>
      <c r="AD13" s="259">
        <v>113</v>
      </c>
      <c r="AE13" s="260">
        <f>AC13+AD13</f>
        <v>4465</v>
      </c>
      <c r="AF13" s="259">
        <v>4044</v>
      </c>
      <c r="AG13" s="259">
        <v>73</v>
      </c>
      <c r="AH13" s="260">
        <f>AF13+AG13</f>
        <v>4117</v>
      </c>
      <c r="AI13" s="6">
        <v>564</v>
      </c>
      <c r="AJ13" s="6">
        <v>15</v>
      </c>
      <c r="AK13" s="5">
        <f>AJ13+AI13</f>
        <v>579</v>
      </c>
      <c r="AL13" s="6">
        <v>1055</v>
      </c>
      <c r="AM13" s="6">
        <v>13</v>
      </c>
      <c r="AN13" s="5">
        <f>AM13+AL13</f>
        <v>1068</v>
      </c>
      <c r="AO13" s="6">
        <v>1026</v>
      </c>
      <c r="AP13" s="6">
        <v>9</v>
      </c>
      <c r="AQ13" s="5">
        <f>AP13+AO13</f>
        <v>1035</v>
      </c>
      <c r="AR13" s="6">
        <v>1005</v>
      </c>
      <c r="AS13" s="6">
        <v>10</v>
      </c>
      <c r="AT13" s="5">
        <f>AS13+AR13</f>
        <v>1015</v>
      </c>
      <c r="AU13" s="259">
        <f>AI13+AL13+AO13+AR13</f>
        <v>3650</v>
      </c>
      <c r="AV13" s="259">
        <f>AJ13+AM13+AP13+AS13</f>
        <v>47</v>
      </c>
      <c r="AW13" s="260">
        <f>AU13+AV13</f>
        <v>3697</v>
      </c>
      <c r="AX13" s="277"/>
      <c r="AY13" s="277"/>
      <c r="AZ13" s="259">
        <f>AU13*(1+AX14)</f>
        <v>3609.1080252748939</v>
      </c>
      <c r="BA13" s="259">
        <f>AV13*(1+AY14)</f>
        <v>39.48667638909626</v>
      </c>
      <c r="BB13" s="260">
        <f>AZ13+BA13</f>
        <v>3648.5947016639902</v>
      </c>
      <c r="BC13" s="259">
        <f>AZ13*(1+$AX14-0.09)</f>
        <v>3243.8544525481757</v>
      </c>
      <c r="BD13" s="259">
        <f>BA13*(1+$AY14)</f>
        <v>33.17441728206834</v>
      </c>
      <c r="BE13" s="260">
        <f>BC13+BD13</f>
        <v>3277.0288698302438</v>
      </c>
      <c r="BF13" s="259">
        <f>BC13*(1+$AX14-0.09)</f>
        <v>2915.5657396858196</v>
      </c>
      <c r="BG13" s="259">
        <f>BD13*(1+$AY14)</f>
        <v>27.871222970507976</v>
      </c>
      <c r="BH13" s="260">
        <f>BF13+BG13</f>
        <v>2943.4369626563275</v>
      </c>
      <c r="BI13" s="259">
        <f>BF13*(1+$AX14-0.09)</f>
        <v>2620.5009215972141</v>
      </c>
      <c r="BJ13" s="259">
        <f>BG13*(1+$AY14)</f>
        <v>23.415786425633929</v>
      </c>
      <c r="BK13" s="260">
        <f>BI13+BJ13</f>
        <v>2643.9167080228481</v>
      </c>
      <c r="BL13" s="259">
        <f>BI13*(1+$AX14)</f>
        <v>2591.1427140758246</v>
      </c>
      <c r="BM13" s="259">
        <f>BJ13*(1+$AY14)</f>
        <v>19.67258682947234</v>
      </c>
      <c r="BN13" s="260">
        <f>BL13+BM13</f>
        <v>2610.8153009052971</v>
      </c>
    </row>
    <row r="14" spans="1:66" x14ac:dyDescent="0.35">
      <c r="A14" s="241" t="s">
        <v>28</v>
      </c>
      <c r="E14" s="53"/>
      <c r="F14" s="53"/>
      <c r="G14" s="242"/>
      <c r="H14" s="53">
        <f t="shared" ref="H14" si="80">IFERROR(H13/E13-1,0)</f>
        <v>3.4774436090225569E-2</v>
      </c>
      <c r="I14" s="53">
        <f t="shared" ref="I14" si="81">IFERROR(I13/F13-1,0)</f>
        <v>-3.7288135593220306E-2</v>
      </c>
      <c r="J14" s="242">
        <f t="shared" ref="J14" si="82">IFERROR(J13/G13-1,0)</f>
        <v>3.0103274005712999E-2</v>
      </c>
      <c r="K14" s="53">
        <f>IFERROR(K13/H13-1,0)</f>
        <v>0.15781108083560391</v>
      </c>
      <c r="L14" s="53">
        <f t="shared" ref="L14" si="83">IFERROR(L13/I13-1,0)</f>
        <v>-6.6901408450704247E-2</v>
      </c>
      <c r="M14" s="242">
        <f t="shared" ref="M14" si="84">IFERROR(M13/J13-1,0)</f>
        <v>0.14419795221843001</v>
      </c>
      <c r="N14" s="53">
        <f t="shared" ref="N14" si="85">IFERROR(N13/K13-1,0)</f>
        <v>0.12159246911159061</v>
      </c>
      <c r="O14" s="53">
        <f t="shared" ref="O14" si="86">IFERROR(O13/L13-1,0)</f>
        <v>-7.1698113207547154E-2</v>
      </c>
      <c r="P14" s="242">
        <f t="shared" ref="P14" si="87">IFERROR(P13/M13-1,0)</f>
        <v>0.11204325130499626</v>
      </c>
      <c r="Q14" s="53">
        <f t="shared" ref="Q14" si="88">IFERROR(Q13/N13-1,0)</f>
        <v>-8.9700996677740896E-2</v>
      </c>
      <c r="R14" s="53">
        <f t="shared" ref="R14" si="89">IFERROR(R13/O13-1,0)</f>
        <v>-7.7235772357723609E-2</v>
      </c>
      <c r="S14" s="242">
        <f t="shared" ref="S14" si="90">IFERROR(S13/P13-1,0)</f>
        <v>-8.9186923721709999E-2</v>
      </c>
      <c r="T14" s="53">
        <f t="shared" ref="T14" si="91">IFERROR(T13/Q13-1,0)</f>
        <v>-7.664233576642332E-2</v>
      </c>
      <c r="U14" s="53">
        <f t="shared" ref="U14" si="92">IFERROR(U13/R13-1,0)</f>
        <v>-8.8105726872246715E-2</v>
      </c>
      <c r="V14" s="242">
        <f t="shared" ref="V14" si="93">IFERROR(V13/S13-1,0)</f>
        <v>-7.7121295785017474E-2</v>
      </c>
      <c r="W14" s="53">
        <f t="shared" ref="W14" si="94">IFERROR(W13/T13-1,0)</f>
        <v>5.0551279384231318E-2</v>
      </c>
      <c r="X14" s="53">
        <f t="shared" ref="X14" si="95">IFERROR(X13/U13-1,0)</f>
        <v>-0.14975845410628019</v>
      </c>
      <c r="Y14" s="242">
        <f t="shared" ref="Y14" si="96">IFERROR(Y13/V13-1,0)</f>
        <v>4.2281611487834159E-2</v>
      </c>
      <c r="Z14" s="53">
        <f t="shared" ref="Z14" si="97">IFERROR(Z13/W13-1,0)</f>
        <v>-3.8613861386138648E-2</v>
      </c>
      <c r="AA14" s="53">
        <f t="shared" ref="AA14" si="98">IFERROR(AA13/X13-1,0)</f>
        <v>-0.19886363636363635</v>
      </c>
      <c r="AB14" s="242">
        <f t="shared" ref="AB14" si="99">IFERROR(AB13/Y13-1,0)</f>
        <v>-4.4010715652506693E-2</v>
      </c>
      <c r="AC14" s="53">
        <f t="shared" ref="AC14" si="100">IFERROR(AC13/Z13-1,0)</f>
        <v>-0.10360453141091663</v>
      </c>
      <c r="AD14" s="53">
        <f t="shared" ref="AD14" si="101">IFERROR(AD13/AA13-1,0)</f>
        <v>-0.1985815602836879</v>
      </c>
      <c r="AE14" s="242">
        <f t="shared" ref="AE14" si="102">IFERROR(AE13/AB13-1,0)</f>
        <v>-0.1062850280224179</v>
      </c>
      <c r="AF14" s="53">
        <f t="shared" ref="AF14" si="103">IFERROR(AF13/AC13-1,0)</f>
        <v>-7.0772058823529438E-2</v>
      </c>
      <c r="AG14" s="53">
        <f t="shared" ref="AG14" si="104">IFERROR(AG13/AD13-1,0)</f>
        <v>-0.35398230088495575</v>
      </c>
      <c r="AH14" s="242">
        <f t="shared" ref="AH14" si="105">IFERROR(AH13/AE13-1,0)</f>
        <v>-7.7939529675251973E-2</v>
      </c>
      <c r="AI14" s="53">
        <f>IFERROR(AI13/AF13-1,0)</f>
        <v>-0.86053412462908008</v>
      </c>
      <c r="AJ14" s="53">
        <f t="shared" ref="AJ14:AK14" si="106">IFERROR(AJ13/AG13-1,0)</f>
        <v>-0.79452054794520555</v>
      </c>
      <c r="AK14" s="242">
        <f t="shared" si="106"/>
        <v>-0.85936361428224439</v>
      </c>
      <c r="AL14" s="53">
        <f t="shared" ref="AL14" si="107">IFERROR(AL13/AI13-1,0)</f>
        <v>0.87056737588652489</v>
      </c>
      <c r="AM14" s="53">
        <f t="shared" ref="AM14:AN14" si="108">IFERROR(AM13/AJ13-1,0)</f>
        <v>-0.1333333333333333</v>
      </c>
      <c r="AN14" s="242">
        <f t="shared" si="108"/>
        <v>0.84455958549222787</v>
      </c>
      <c r="AO14" s="53">
        <f t="shared" ref="AO14" si="109">IFERROR(AO13/AL13-1,0)</f>
        <v>-2.7488151658767723E-2</v>
      </c>
      <c r="AP14" s="53">
        <f t="shared" ref="AP14" si="110">IFERROR(AP13/AM13-1,0)</f>
        <v>-0.30769230769230771</v>
      </c>
      <c r="AQ14" s="242">
        <f t="shared" ref="AQ14:AT14" si="111">IFERROR(AQ13/AN13-1,0)</f>
        <v>-3.0898876404494402E-2</v>
      </c>
      <c r="AR14" s="53">
        <f t="shared" ref="AR14" si="112">IFERROR(AR13/AO13-1,0)</f>
        <v>-2.0467836257309968E-2</v>
      </c>
      <c r="AS14" s="53">
        <f t="shared" si="111"/>
        <v>0.11111111111111116</v>
      </c>
      <c r="AT14" s="242">
        <f t="shared" si="111"/>
        <v>-1.9323671497584516E-2</v>
      </c>
      <c r="AU14" s="283">
        <f>IFERROR(AU13/AF13-1,0)</f>
        <v>-9.7428288822947628E-2</v>
      </c>
      <c r="AV14" s="283">
        <f t="shared" ref="AV14" si="113">IFERROR(AV13/AG13-1,0)</f>
        <v>-0.35616438356164382</v>
      </c>
      <c r="AW14" s="242">
        <f>IFERROR(AW13/AH13-1,0)</f>
        <v>-0.10201603109059998</v>
      </c>
      <c r="AX14" s="210">
        <f>AVERAGE(Q14,T14,W14,Z14,AC14,AF14,AU14,N14,K14,H14)</f>
        <v>-1.1203280746604516E-2</v>
      </c>
      <c r="AY14" s="210">
        <f>AVERAGE(R14,U14,X14,AA14,AD14,AG14,AV14,O14,L14,I14)</f>
        <v>-0.15985794916816459</v>
      </c>
      <c r="AZ14" s="236"/>
      <c r="BA14" s="236"/>
      <c r="BB14" s="240"/>
      <c r="BC14" s="236"/>
      <c r="BD14" s="236"/>
      <c r="BE14" s="240"/>
      <c r="BF14" s="236"/>
      <c r="BG14" s="236"/>
      <c r="BH14" s="240"/>
      <c r="BI14" s="236"/>
      <c r="BJ14" s="236"/>
      <c r="BK14" s="240"/>
      <c r="BL14" s="236"/>
      <c r="BM14" s="236"/>
      <c r="BN14" s="240"/>
    </row>
    <row r="15" spans="1:66" x14ac:dyDescent="0.35">
      <c r="A15" s="244" t="s">
        <v>29</v>
      </c>
      <c r="E15" s="46"/>
      <c r="F15" s="46"/>
      <c r="G15" s="246"/>
      <c r="H15" s="247">
        <f>H14</f>
        <v>3.4774436090225569E-2</v>
      </c>
      <c r="I15" s="247">
        <f t="shared" ref="I15" si="114">I14</f>
        <v>-3.7288135593220306E-2</v>
      </c>
      <c r="J15" s="248">
        <f t="shared" ref="J15" si="115">J14</f>
        <v>3.0103274005712999E-2</v>
      </c>
      <c r="K15" s="247">
        <f t="shared" ref="K15" si="116">K14</f>
        <v>0.15781108083560391</v>
      </c>
      <c r="L15" s="247">
        <f t="shared" ref="L15" si="117">L14</f>
        <v>-6.6901408450704247E-2</v>
      </c>
      <c r="M15" s="248">
        <f t="shared" ref="M15" si="118">M14</f>
        <v>0.14419795221843001</v>
      </c>
      <c r="N15" s="247">
        <f t="shared" ref="N15" si="119">N14</f>
        <v>0.12159246911159061</v>
      </c>
      <c r="O15" s="247">
        <f t="shared" ref="O15" si="120">O14</f>
        <v>-7.1698113207547154E-2</v>
      </c>
      <c r="P15" s="248">
        <f t="shared" ref="P15" si="121">P14</f>
        <v>0.11204325130499626</v>
      </c>
      <c r="Q15" s="247">
        <f t="shared" ref="Q15" si="122">Q14</f>
        <v>-8.9700996677740896E-2</v>
      </c>
      <c r="R15" s="247">
        <f t="shared" ref="R15" si="123">R14</f>
        <v>-7.7235772357723609E-2</v>
      </c>
      <c r="S15" s="248">
        <f t="shared" ref="S15" si="124">S14</f>
        <v>-8.9186923721709999E-2</v>
      </c>
      <c r="T15" s="247">
        <f t="shared" ref="T15" si="125">T14</f>
        <v>-7.664233576642332E-2</v>
      </c>
      <c r="U15" s="247">
        <f t="shared" ref="U15" si="126">U14</f>
        <v>-8.8105726872246715E-2</v>
      </c>
      <c r="V15" s="248">
        <f t="shared" ref="V15" si="127">V14</f>
        <v>-7.7121295785017474E-2</v>
      </c>
      <c r="W15" s="247">
        <f t="shared" ref="W15" si="128">W14</f>
        <v>5.0551279384231318E-2</v>
      </c>
      <c r="X15" s="247">
        <f t="shared" ref="X15" si="129">X14</f>
        <v>-0.14975845410628019</v>
      </c>
      <c r="Y15" s="248">
        <f t="shared" ref="Y15" si="130">Y14</f>
        <v>4.2281611487834159E-2</v>
      </c>
      <c r="Z15" s="247">
        <f t="shared" ref="Z15" si="131">Z14</f>
        <v>-3.8613861386138648E-2</v>
      </c>
      <c r="AA15" s="247">
        <f t="shared" ref="AA15" si="132">AA14</f>
        <v>-0.19886363636363635</v>
      </c>
      <c r="AB15" s="248">
        <f t="shared" ref="AB15" si="133">AB14</f>
        <v>-4.4010715652506693E-2</v>
      </c>
      <c r="AC15" s="247">
        <f t="shared" ref="AC15" si="134">AC14</f>
        <v>-0.10360453141091663</v>
      </c>
      <c r="AD15" s="247">
        <f t="shared" ref="AD15" si="135">AD14</f>
        <v>-0.1985815602836879</v>
      </c>
      <c r="AE15" s="248">
        <f t="shared" ref="AE15" si="136">AE14</f>
        <v>-0.1062850280224179</v>
      </c>
      <c r="AF15" s="247">
        <f t="shared" ref="AF15" si="137">AF14</f>
        <v>-7.0772058823529438E-2</v>
      </c>
      <c r="AG15" s="247">
        <f t="shared" ref="AG15" si="138">AG14</f>
        <v>-0.35398230088495575</v>
      </c>
      <c r="AH15" s="248">
        <f t="shared" ref="AH15" si="139">AH14</f>
        <v>-7.7939529675251973E-2</v>
      </c>
      <c r="AI15" s="249">
        <f>AI14</f>
        <v>-0.86053412462908008</v>
      </c>
      <c r="AJ15" s="249">
        <f t="shared" ref="AJ15" si="140">AJ14</f>
        <v>-0.79452054794520555</v>
      </c>
      <c r="AK15" s="249">
        <f t="shared" ref="AK15" si="141">AK14</f>
        <v>-0.85936361428224439</v>
      </c>
      <c r="AL15" s="249">
        <f t="shared" ref="AL15" si="142">AL14</f>
        <v>0.87056737588652489</v>
      </c>
      <c r="AM15" s="249">
        <f t="shared" ref="AM15" si="143">AM14</f>
        <v>-0.1333333333333333</v>
      </c>
      <c r="AN15" s="249">
        <f t="shared" ref="AN15" si="144">AN14</f>
        <v>0.84455958549222787</v>
      </c>
      <c r="AO15" s="249">
        <f t="shared" ref="AO15" si="145">AO14</f>
        <v>-2.7488151658767723E-2</v>
      </c>
      <c r="AP15" s="249">
        <f t="shared" ref="AP15" si="146">AP14</f>
        <v>-0.30769230769230771</v>
      </c>
      <c r="AQ15" s="249">
        <f t="shared" ref="AQ15" si="147">AQ14</f>
        <v>-3.0898876404494402E-2</v>
      </c>
      <c r="AR15" s="249">
        <f t="shared" ref="AR15" si="148">AR14</f>
        <v>-2.0467836257309968E-2</v>
      </c>
      <c r="AS15" s="249">
        <f t="shared" ref="AS15" si="149">AS14</f>
        <v>0.11111111111111116</v>
      </c>
      <c r="AT15" s="249">
        <f t="shared" ref="AT15" si="150">AT14</f>
        <v>-1.9323671497584516E-2</v>
      </c>
      <c r="AU15" s="250">
        <f>AU14</f>
        <v>-9.7428288822947628E-2</v>
      </c>
      <c r="AV15" s="250">
        <f t="shared" ref="AV15" si="151">AV14</f>
        <v>-0.35616438356164382</v>
      </c>
      <c r="AW15" s="248">
        <f t="shared" ref="AW15" si="152">AW14</f>
        <v>-0.10201603109059998</v>
      </c>
      <c r="AX15" s="278"/>
      <c r="AY15" s="278"/>
      <c r="AZ15" s="236"/>
      <c r="BA15" s="236"/>
      <c r="BB15" s="240"/>
      <c r="BC15" s="236"/>
      <c r="BD15" s="236"/>
      <c r="BE15" s="240"/>
      <c r="BF15" s="236"/>
      <c r="BG15" s="236"/>
      <c r="BH15" s="240"/>
      <c r="BI15" s="236"/>
      <c r="BJ15" s="236"/>
      <c r="BK15" s="240"/>
      <c r="BL15" s="236"/>
      <c r="BM15" s="236"/>
      <c r="BN15" s="240"/>
    </row>
    <row r="16" spans="1:66" x14ac:dyDescent="0.35">
      <c r="A16" s="69" t="s">
        <v>4</v>
      </c>
      <c r="B16" s="2"/>
      <c r="C16" s="2"/>
      <c r="D16" s="2"/>
      <c r="E16" s="259">
        <v>747</v>
      </c>
      <c r="F16" s="259">
        <v>1164</v>
      </c>
      <c r="G16" s="260">
        <f>E16+F16</f>
        <v>1911</v>
      </c>
      <c r="H16" s="259">
        <v>794</v>
      </c>
      <c r="I16" s="259">
        <v>1136</v>
      </c>
      <c r="J16" s="260">
        <f>H16+I16</f>
        <v>1930</v>
      </c>
      <c r="K16" s="259">
        <v>900</v>
      </c>
      <c r="L16" s="259">
        <v>1051</v>
      </c>
      <c r="M16" s="260">
        <f>K16+L16</f>
        <v>1951</v>
      </c>
      <c r="N16" s="259">
        <v>1082</v>
      </c>
      <c r="O16" s="259">
        <v>1011</v>
      </c>
      <c r="P16" s="260">
        <f>N16+O16</f>
        <v>2093</v>
      </c>
      <c r="Q16" s="259">
        <v>1114</v>
      </c>
      <c r="R16" s="259">
        <v>939</v>
      </c>
      <c r="S16" s="260">
        <f>Q16+R16</f>
        <v>2053</v>
      </c>
      <c r="T16" s="259">
        <v>942</v>
      </c>
      <c r="U16" s="259">
        <v>935</v>
      </c>
      <c r="V16" s="260">
        <f>T16+U16</f>
        <v>1877</v>
      </c>
      <c r="W16" s="259">
        <v>758</v>
      </c>
      <c r="X16" s="259">
        <v>971</v>
      </c>
      <c r="Y16" s="260">
        <f>W16+X16</f>
        <v>1729</v>
      </c>
      <c r="Z16" s="259">
        <v>629</v>
      </c>
      <c r="AA16" s="259">
        <v>939</v>
      </c>
      <c r="AB16" s="260">
        <f>Z16+AA16</f>
        <v>1568</v>
      </c>
      <c r="AC16" s="259">
        <v>537</v>
      </c>
      <c r="AD16" s="259">
        <v>943</v>
      </c>
      <c r="AE16" s="260">
        <f>AC16+AD16</f>
        <v>1480</v>
      </c>
      <c r="AF16" s="259">
        <v>521</v>
      </c>
      <c r="AG16" s="259">
        <v>900</v>
      </c>
      <c r="AH16" s="260">
        <f>AF16+AG16</f>
        <v>1421</v>
      </c>
      <c r="AI16" s="6">
        <v>115</v>
      </c>
      <c r="AJ16" s="6">
        <v>240</v>
      </c>
      <c r="AK16" s="5">
        <f>AJ16+AI16</f>
        <v>355</v>
      </c>
      <c r="AL16" s="6">
        <v>123</v>
      </c>
      <c r="AM16" s="6">
        <v>242</v>
      </c>
      <c r="AN16" s="5">
        <f>AM16+AL16</f>
        <v>365</v>
      </c>
      <c r="AO16" s="6">
        <v>107</v>
      </c>
      <c r="AP16" s="6">
        <v>216</v>
      </c>
      <c r="AQ16" s="5">
        <f>AP16+AO16</f>
        <v>323</v>
      </c>
      <c r="AR16" s="6">
        <v>107</v>
      </c>
      <c r="AS16" s="6">
        <v>212</v>
      </c>
      <c r="AT16" s="5">
        <f>AS16+AR16</f>
        <v>319</v>
      </c>
      <c r="AU16" s="259">
        <f>AI16+AL16+AO16+AR16</f>
        <v>452</v>
      </c>
      <c r="AV16" s="259">
        <f>AJ16+AM16+AP16+AS16</f>
        <v>910</v>
      </c>
      <c r="AW16" s="260">
        <f>AU16+AV16</f>
        <v>1362</v>
      </c>
      <c r="AX16" s="277"/>
      <c r="AY16" s="277"/>
      <c r="AZ16" s="259">
        <f>AU16*(1+AX17)</f>
        <v>433.91130562141353</v>
      </c>
      <c r="BA16" s="259">
        <f>AV16*(1+AY17)</f>
        <v>888.42429879658096</v>
      </c>
      <c r="BB16" s="260">
        <f>AZ16+BA16</f>
        <v>1322.3356044179945</v>
      </c>
      <c r="BC16" s="259">
        <f>AZ16*(1+$AX17)</f>
        <v>416.54650696035338</v>
      </c>
      <c r="BD16" s="259">
        <f>BA16*(1+$AY17)</f>
        <v>867.36014801340275</v>
      </c>
      <c r="BE16" s="260">
        <f>BC16+BD16</f>
        <v>1283.9066549737561</v>
      </c>
      <c r="BF16" s="259">
        <f>BC16*(1+$AX17)</f>
        <v>399.87663426373041</v>
      </c>
      <c r="BG16" s="259">
        <f>BD16*(1+$AY17)</f>
        <v>846.79541901418236</v>
      </c>
      <c r="BH16" s="260">
        <f>BF16+BG16</f>
        <v>1246.6720532779127</v>
      </c>
      <c r="BI16" s="259">
        <f>BF16*(1+$AX17)</f>
        <v>383.87387712582239</v>
      </c>
      <c r="BJ16" s="259">
        <f>BG16*(1+$AY17)</f>
        <v>826.71827072728775</v>
      </c>
      <c r="BK16" s="260">
        <f>BI16+BJ16</f>
        <v>1210.5921478531102</v>
      </c>
      <c r="BL16" s="259">
        <f>BI16*(1+$AX17)</f>
        <v>368.51153809207887</v>
      </c>
      <c r="BM16" s="259">
        <f>BJ16*(1+$AY17)</f>
        <v>807.11714282770606</v>
      </c>
      <c r="BN16" s="260">
        <f>BL16+BM16</f>
        <v>1175.628680919785</v>
      </c>
    </row>
    <row r="17" spans="1:66" x14ac:dyDescent="0.35">
      <c r="A17" s="241" t="s">
        <v>28</v>
      </c>
      <c r="E17" s="53"/>
      <c r="F17" s="53"/>
      <c r="G17" s="242"/>
      <c r="H17" s="53">
        <f t="shared" ref="H17" si="153">IFERROR(H16/E16-1,0)</f>
        <v>6.2918340026773656E-2</v>
      </c>
      <c r="I17" s="53">
        <f t="shared" ref="I17" si="154">IFERROR(I16/F16-1,0)</f>
        <v>-2.4054982817869441E-2</v>
      </c>
      <c r="J17" s="242">
        <f t="shared" ref="J17" si="155">IFERROR(J16/G16-1,0)</f>
        <v>9.9424385138671134E-3</v>
      </c>
      <c r="K17" s="53">
        <f>IFERROR(K16/H16-1,0)</f>
        <v>0.13350125944584379</v>
      </c>
      <c r="L17" s="53">
        <f t="shared" ref="L17" si="156">IFERROR(L16/I16-1,0)</f>
        <v>-7.482394366197187E-2</v>
      </c>
      <c r="M17" s="242">
        <f t="shared" ref="M17" si="157">IFERROR(M16/J16-1,0)</f>
        <v>1.0880829015543991E-2</v>
      </c>
      <c r="N17" s="53">
        <f t="shared" ref="N17" si="158">IFERROR(N16/K16-1,0)</f>
        <v>0.2022222222222223</v>
      </c>
      <c r="O17" s="53">
        <f t="shared" ref="O17" si="159">IFERROR(O16/L16-1,0)</f>
        <v>-3.8058991436726974E-2</v>
      </c>
      <c r="P17" s="242">
        <f t="shared" ref="P17" si="160">IFERROR(P16/M16-1,0)</f>
        <v>7.2783188108662245E-2</v>
      </c>
      <c r="Q17" s="53">
        <f t="shared" ref="Q17" si="161">IFERROR(Q16/N16-1,0)</f>
        <v>2.9574861367837268E-2</v>
      </c>
      <c r="R17" s="53">
        <f t="shared" ref="R17" si="162">IFERROR(R16/O16-1,0)</f>
        <v>-7.1216617210682509E-2</v>
      </c>
      <c r="S17" s="242">
        <f t="shared" ref="S17" si="163">IFERROR(S16/P16-1,0)</f>
        <v>-1.9111323459149565E-2</v>
      </c>
      <c r="T17" s="53">
        <f t="shared" ref="T17" si="164">IFERROR(T16/Q16-1,0)</f>
        <v>-0.15439856373429084</v>
      </c>
      <c r="U17" s="53">
        <f t="shared" ref="U17" si="165">IFERROR(U16/R16-1,0)</f>
        <v>-4.2598509052182987E-3</v>
      </c>
      <c r="V17" s="242">
        <f t="shared" ref="V17" si="166">IFERROR(V16/S16-1,0)</f>
        <v>-8.5728202630297123E-2</v>
      </c>
      <c r="W17" s="53">
        <f t="shared" ref="W17" si="167">IFERROR(W16/T16-1,0)</f>
        <v>-0.19532908704883223</v>
      </c>
      <c r="X17" s="53">
        <f t="shared" ref="X17" si="168">IFERROR(X16/U16-1,0)</f>
        <v>3.8502673796791509E-2</v>
      </c>
      <c r="Y17" s="242">
        <f t="shared" ref="Y17" si="169">IFERROR(Y16/V16-1,0)</f>
        <v>-7.8849227490676577E-2</v>
      </c>
      <c r="Z17" s="53">
        <f t="shared" ref="Z17" si="170">IFERROR(Z16/W16-1,0)</f>
        <v>-0.17018469656992086</v>
      </c>
      <c r="AA17" s="53">
        <f t="shared" ref="AA17" si="171">IFERROR(AA16/X16-1,0)</f>
        <v>-3.2955715756951554E-2</v>
      </c>
      <c r="AB17" s="242">
        <f t="shared" ref="AB17" si="172">IFERROR(AB16/Y16-1,0)</f>
        <v>-9.3117408906882582E-2</v>
      </c>
      <c r="AC17" s="53">
        <f t="shared" ref="AC17" si="173">IFERROR(AC16/Z16-1,0)</f>
        <v>-0.1462639109697933</v>
      </c>
      <c r="AD17" s="53">
        <f t="shared" ref="AD17" si="174">IFERROR(AD16/AA16-1,0)</f>
        <v>4.2598509052182987E-3</v>
      </c>
      <c r="AE17" s="242">
        <f t="shared" ref="AE17" si="175">IFERROR(AE16/AB16-1,0)</f>
        <v>-5.6122448979591844E-2</v>
      </c>
      <c r="AF17" s="53">
        <f t="shared" ref="AF17" si="176">IFERROR(AF16/AC16-1,0)</f>
        <v>-2.9795158286778367E-2</v>
      </c>
      <c r="AG17" s="53">
        <f t="shared" ref="AG17" si="177">IFERROR(AG16/AD16-1,0)</f>
        <v>-4.5599151643690328E-2</v>
      </c>
      <c r="AH17" s="242">
        <f t="shared" ref="AH17" si="178">IFERROR(AH16/AE16-1,0)</f>
        <v>-3.9864864864864846E-2</v>
      </c>
      <c r="AI17" s="53">
        <f>IFERROR(AI16/AF16-1,0)</f>
        <v>-0.77927063339731284</v>
      </c>
      <c r="AJ17" s="53">
        <f t="shared" ref="AJ17:AK17" si="179">IFERROR(AJ16/AG16-1,0)</f>
        <v>-0.73333333333333339</v>
      </c>
      <c r="AK17" s="242">
        <f t="shared" si="179"/>
        <v>-0.75017593244194236</v>
      </c>
      <c r="AL17" s="53">
        <f t="shared" ref="AL17" si="180">IFERROR(AL16/AI16-1,0)</f>
        <v>6.956521739130439E-2</v>
      </c>
      <c r="AM17" s="53">
        <f t="shared" ref="AM17:AN17" si="181">IFERROR(AM16/AJ16-1,0)</f>
        <v>8.3333333333333037E-3</v>
      </c>
      <c r="AN17" s="242">
        <f t="shared" si="181"/>
        <v>2.8169014084507005E-2</v>
      </c>
      <c r="AO17" s="53">
        <f t="shared" ref="AO17" si="182">IFERROR(AO16/AL16-1,0)</f>
        <v>-0.13008130081300817</v>
      </c>
      <c r="AP17" s="53">
        <f t="shared" ref="AP17" si="183">IFERROR(AP16/AM16-1,0)</f>
        <v>-0.1074380165289256</v>
      </c>
      <c r="AQ17" s="242">
        <f t="shared" ref="AQ17:AT17" si="184">IFERROR(AQ16/AN16-1,0)</f>
        <v>-0.1150684931506849</v>
      </c>
      <c r="AR17" s="53">
        <f t="shared" ref="AR17" si="185">IFERROR(AR16/AO16-1,0)</f>
        <v>0</v>
      </c>
      <c r="AS17" s="53">
        <f t="shared" si="184"/>
        <v>-1.851851851851849E-2</v>
      </c>
      <c r="AT17" s="242">
        <f t="shared" si="184"/>
        <v>-1.2383900928792602E-2</v>
      </c>
      <c r="AU17" s="283">
        <f>IFERROR(AU16/AF16-1,0)</f>
        <v>-0.1324376199616123</v>
      </c>
      <c r="AV17" s="283">
        <f t="shared" ref="AV17" si="186">IFERROR(AV16/AG16-1,0)</f>
        <v>1.1111111111111072E-2</v>
      </c>
      <c r="AW17" s="242">
        <f>IFERROR(AW16/AH16-1,0)</f>
        <v>-4.1520056298381403E-2</v>
      </c>
      <c r="AX17" s="210">
        <f>AVERAGE(Q17,T17,W17,Z17,AC17,AF17,AU17,N17,K17,H17)</f>
        <v>-4.0019235350855088E-2</v>
      </c>
      <c r="AY17" s="210">
        <f>AVERAGE(R17,U17,X17,AA17,AD17,AG17,AV17,O17,L17,I17)</f>
        <v>-2.370956176199901E-2</v>
      </c>
      <c r="AZ17" s="236"/>
      <c r="BA17" s="236"/>
      <c r="BB17" s="240"/>
      <c r="BC17" s="236"/>
      <c r="BD17" s="236"/>
      <c r="BE17" s="240"/>
      <c r="BF17" s="236"/>
      <c r="BG17" s="236"/>
      <c r="BH17" s="240"/>
      <c r="BI17" s="236"/>
      <c r="BJ17" s="236"/>
      <c r="BK17" s="240"/>
      <c r="BL17" s="236"/>
      <c r="BM17" s="236"/>
      <c r="BN17" s="240"/>
    </row>
    <row r="18" spans="1:66" x14ac:dyDescent="0.35">
      <c r="A18" s="244" t="s">
        <v>29</v>
      </c>
      <c r="E18" s="236"/>
      <c r="F18" s="236"/>
      <c r="G18" s="240"/>
      <c r="H18" s="247">
        <f>H17</f>
        <v>6.2918340026773656E-2</v>
      </c>
      <c r="I18" s="247">
        <f t="shared" ref="I18" si="187">I17</f>
        <v>-2.4054982817869441E-2</v>
      </c>
      <c r="J18" s="248">
        <f t="shared" ref="J18" si="188">J17</f>
        <v>9.9424385138671134E-3</v>
      </c>
      <c r="K18" s="247">
        <f t="shared" ref="K18" si="189">K17</f>
        <v>0.13350125944584379</v>
      </c>
      <c r="L18" s="247">
        <f t="shared" ref="L18" si="190">L17</f>
        <v>-7.482394366197187E-2</v>
      </c>
      <c r="M18" s="248">
        <f t="shared" ref="M18" si="191">M17</f>
        <v>1.0880829015543991E-2</v>
      </c>
      <c r="N18" s="247">
        <f t="shared" ref="N18" si="192">N17</f>
        <v>0.2022222222222223</v>
      </c>
      <c r="O18" s="247">
        <f t="shared" ref="O18" si="193">O17</f>
        <v>-3.8058991436726974E-2</v>
      </c>
      <c r="P18" s="248">
        <f t="shared" ref="P18" si="194">P17</f>
        <v>7.2783188108662245E-2</v>
      </c>
      <c r="Q18" s="247">
        <f t="shared" ref="Q18" si="195">Q17</f>
        <v>2.9574861367837268E-2</v>
      </c>
      <c r="R18" s="247">
        <f t="shared" ref="R18" si="196">R17</f>
        <v>-7.1216617210682509E-2</v>
      </c>
      <c r="S18" s="248">
        <f t="shared" ref="S18" si="197">S17</f>
        <v>-1.9111323459149565E-2</v>
      </c>
      <c r="T18" s="247">
        <f t="shared" ref="T18" si="198">T17</f>
        <v>-0.15439856373429084</v>
      </c>
      <c r="U18" s="247">
        <f t="shared" ref="U18" si="199">U17</f>
        <v>-4.2598509052182987E-3</v>
      </c>
      <c r="V18" s="248">
        <f t="shared" ref="V18" si="200">V17</f>
        <v>-8.5728202630297123E-2</v>
      </c>
      <c r="W18" s="247">
        <f t="shared" ref="W18" si="201">W17</f>
        <v>-0.19532908704883223</v>
      </c>
      <c r="X18" s="247">
        <f t="shared" ref="X18" si="202">X17</f>
        <v>3.8502673796791509E-2</v>
      </c>
      <c r="Y18" s="248">
        <f t="shared" ref="Y18" si="203">Y17</f>
        <v>-7.8849227490676577E-2</v>
      </c>
      <c r="Z18" s="247">
        <f t="shared" ref="Z18" si="204">Z17</f>
        <v>-0.17018469656992086</v>
      </c>
      <c r="AA18" s="247">
        <f t="shared" ref="AA18" si="205">AA17</f>
        <v>-3.2955715756951554E-2</v>
      </c>
      <c r="AB18" s="248">
        <f t="shared" ref="AB18" si="206">AB17</f>
        <v>-9.3117408906882582E-2</v>
      </c>
      <c r="AC18" s="247">
        <f t="shared" ref="AC18" si="207">AC17</f>
        <v>-0.1462639109697933</v>
      </c>
      <c r="AD18" s="247">
        <f t="shared" ref="AD18" si="208">AD17</f>
        <v>4.2598509052182987E-3</v>
      </c>
      <c r="AE18" s="248">
        <f t="shared" ref="AE18" si="209">AE17</f>
        <v>-5.6122448979591844E-2</v>
      </c>
      <c r="AF18" s="247">
        <f t="shared" ref="AF18" si="210">AF17</f>
        <v>-2.9795158286778367E-2</v>
      </c>
      <c r="AG18" s="247">
        <f t="shared" ref="AG18" si="211">AG17</f>
        <v>-4.5599151643690328E-2</v>
      </c>
      <c r="AH18" s="248">
        <f t="shared" ref="AH18" si="212">AH17</f>
        <v>-3.9864864864864846E-2</v>
      </c>
      <c r="AI18" s="249">
        <f>AI17</f>
        <v>-0.77927063339731284</v>
      </c>
      <c r="AJ18" s="249">
        <f t="shared" ref="AJ18" si="213">AJ17</f>
        <v>-0.73333333333333339</v>
      </c>
      <c r="AK18" s="249">
        <f t="shared" ref="AK18" si="214">AK17</f>
        <v>-0.75017593244194236</v>
      </c>
      <c r="AL18" s="249">
        <f t="shared" ref="AL18" si="215">AL17</f>
        <v>6.956521739130439E-2</v>
      </c>
      <c r="AM18" s="249">
        <f t="shared" ref="AM18" si="216">AM17</f>
        <v>8.3333333333333037E-3</v>
      </c>
      <c r="AN18" s="249">
        <f t="shared" ref="AN18" si="217">AN17</f>
        <v>2.8169014084507005E-2</v>
      </c>
      <c r="AO18" s="249">
        <f t="shared" ref="AO18" si="218">AO17</f>
        <v>-0.13008130081300817</v>
      </c>
      <c r="AP18" s="249">
        <f t="shared" ref="AP18" si="219">AP17</f>
        <v>-0.1074380165289256</v>
      </c>
      <c r="AQ18" s="249">
        <f t="shared" ref="AQ18" si="220">AQ17</f>
        <v>-0.1150684931506849</v>
      </c>
      <c r="AR18" s="249">
        <f t="shared" ref="AR18" si="221">AR17</f>
        <v>0</v>
      </c>
      <c r="AS18" s="249">
        <f t="shared" ref="AS18" si="222">AS17</f>
        <v>-1.851851851851849E-2</v>
      </c>
      <c r="AT18" s="249">
        <f t="shared" ref="AT18" si="223">AT17</f>
        <v>-1.2383900928792602E-2</v>
      </c>
      <c r="AU18" s="250">
        <f>AU17</f>
        <v>-0.1324376199616123</v>
      </c>
      <c r="AV18" s="250">
        <f t="shared" ref="AV18" si="224">AV17</f>
        <v>1.1111111111111072E-2</v>
      </c>
      <c r="AW18" s="248">
        <f t="shared" ref="AW18" si="225">AW17</f>
        <v>-4.1520056298381403E-2</v>
      </c>
      <c r="AX18" s="278"/>
      <c r="AY18" s="278"/>
      <c r="AZ18" s="236"/>
      <c r="BA18" s="236"/>
      <c r="BB18" s="240"/>
      <c r="BC18" s="236"/>
      <c r="BD18" s="236"/>
      <c r="BE18" s="240"/>
      <c r="BF18" s="236"/>
      <c r="BG18" s="236"/>
      <c r="BH18" s="240"/>
      <c r="BI18" s="236"/>
      <c r="BJ18" s="236"/>
      <c r="BK18" s="240"/>
      <c r="BL18" s="236"/>
      <c r="BM18" s="236"/>
      <c r="BN18" s="240"/>
    </row>
    <row r="19" spans="1:66" x14ac:dyDescent="0.35">
      <c r="A19" s="69" t="s">
        <v>9</v>
      </c>
      <c r="B19" s="2"/>
      <c r="C19" s="2"/>
      <c r="D19" s="2"/>
      <c r="E19" s="259">
        <v>1953</v>
      </c>
      <c r="F19" s="259">
        <v>0</v>
      </c>
      <c r="G19" s="260">
        <f>E19+F19</f>
        <v>1953</v>
      </c>
      <c r="H19" s="259">
        <v>2031</v>
      </c>
      <c r="I19" s="259">
        <v>0</v>
      </c>
      <c r="J19" s="260">
        <f>H19+I19</f>
        <v>2031</v>
      </c>
      <c r="K19" s="259">
        <v>1856</v>
      </c>
      <c r="L19" s="259">
        <v>0</v>
      </c>
      <c r="M19" s="260">
        <f>K19+L19</f>
        <v>1856</v>
      </c>
      <c r="N19" s="259">
        <v>1282</v>
      </c>
      <c r="O19" s="259">
        <v>0</v>
      </c>
      <c r="P19" s="260">
        <f>N19+O19</f>
        <v>1282</v>
      </c>
      <c r="Q19" s="259">
        <v>1096</v>
      </c>
      <c r="R19" s="259">
        <v>0</v>
      </c>
      <c r="S19" s="260">
        <f>Q19+R19</f>
        <v>1096</v>
      </c>
      <c r="T19" s="259">
        <v>1010</v>
      </c>
      <c r="U19" s="259">
        <v>0</v>
      </c>
      <c r="V19" s="260">
        <f>T19+U19</f>
        <v>1010</v>
      </c>
      <c r="W19" s="259">
        <v>867</v>
      </c>
      <c r="X19" s="259">
        <v>0</v>
      </c>
      <c r="Y19" s="260">
        <f>W19+X19</f>
        <v>867</v>
      </c>
      <c r="Z19" s="259">
        <v>598</v>
      </c>
      <c r="AA19" s="259">
        <v>0</v>
      </c>
      <c r="AB19" s="260">
        <f>Z19+AA19</f>
        <v>598</v>
      </c>
      <c r="AC19" s="259">
        <v>521</v>
      </c>
      <c r="AD19" s="259">
        <v>0</v>
      </c>
      <c r="AE19" s="260">
        <f>AC19+AD19</f>
        <v>521</v>
      </c>
      <c r="AF19" s="259">
        <v>506</v>
      </c>
      <c r="AG19" s="259">
        <v>0</v>
      </c>
      <c r="AH19" s="260">
        <f>AF19+AG19</f>
        <v>506</v>
      </c>
      <c r="AI19" s="6">
        <v>60</v>
      </c>
      <c r="AJ19" s="6">
        <v>0</v>
      </c>
      <c r="AK19" s="5">
        <f>AJ19+AI19</f>
        <v>60</v>
      </c>
      <c r="AL19" s="6">
        <v>61</v>
      </c>
      <c r="AM19" s="6">
        <v>0</v>
      </c>
      <c r="AN19" s="5">
        <f>AM19+AL19</f>
        <v>61</v>
      </c>
      <c r="AO19" s="6">
        <v>50</v>
      </c>
      <c r="AP19" s="6">
        <v>0</v>
      </c>
      <c r="AQ19" s="5">
        <f>AP19+AO19</f>
        <v>50</v>
      </c>
      <c r="AR19" s="6">
        <v>55</v>
      </c>
      <c r="AS19" s="6">
        <v>0</v>
      </c>
      <c r="AT19" s="5">
        <f>AS19+AR19</f>
        <v>55</v>
      </c>
      <c r="AU19" s="259">
        <f>AI19+AL19+AO19+AR19</f>
        <v>226</v>
      </c>
      <c r="AV19" s="259">
        <f>AJ19+AM19+AP19+AS19</f>
        <v>0</v>
      </c>
      <c r="AW19" s="260">
        <f>AU19+AV19</f>
        <v>226</v>
      </c>
      <c r="AX19" s="277"/>
      <c r="AY19" s="277"/>
      <c r="AZ19" s="259">
        <f>AU19*(1+AX20)</f>
        <v>186.63512684715613</v>
      </c>
      <c r="BA19" s="259">
        <f>AV19*(1+AY20)</f>
        <v>0</v>
      </c>
      <c r="BB19" s="260">
        <f>AZ19+BA19</f>
        <v>186.63512684715613</v>
      </c>
      <c r="BC19" s="259">
        <f>AZ19*(1+$AX20)</f>
        <v>154.12686094360203</v>
      </c>
      <c r="BD19" s="259">
        <f>BA19*(1+$AY20)</f>
        <v>0</v>
      </c>
      <c r="BE19" s="260">
        <f>BC19+BD19</f>
        <v>154.12686094360203</v>
      </c>
      <c r="BF19" s="259">
        <f>BC19*(1+$AX20)</f>
        <v>127.28091257859803</v>
      </c>
      <c r="BG19" s="259">
        <f>BD19*(1+$AY20)</f>
        <v>0</v>
      </c>
      <c r="BH19" s="260">
        <f>BF19+BG19</f>
        <v>127.28091257859803</v>
      </c>
      <c r="BI19" s="259">
        <f>BF19*(1+$AX20)</f>
        <v>105.11101444393113</v>
      </c>
      <c r="BJ19" s="259">
        <f>BG19*(1+$AY20)</f>
        <v>0</v>
      </c>
      <c r="BK19" s="260">
        <f>BI19+BJ19</f>
        <v>105.11101444393113</v>
      </c>
      <c r="BL19" s="259">
        <f>BI19*(1+$AX20)</f>
        <v>86.802688114054618</v>
      </c>
      <c r="BM19" s="259">
        <f>BJ19*(1+$AY20)</f>
        <v>0</v>
      </c>
      <c r="BN19" s="260">
        <f>BL19+BM19</f>
        <v>86.802688114054618</v>
      </c>
    </row>
    <row r="20" spans="1:66" x14ac:dyDescent="0.35">
      <c r="A20" s="241" t="s">
        <v>28</v>
      </c>
      <c r="E20" s="53"/>
      <c r="F20" s="53"/>
      <c r="G20" s="242"/>
      <c r="H20" s="53">
        <f t="shared" ref="H20" si="226">IFERROR(H19/E19-1,0)</f>
        <v>3.9938556067588227E-2</v>
      </c>
      <c r="I20" s="53">
        <f t="shared" ref="I20" si="227">IFERROR(I19/F19-1,0)</f>
        <v>0</v>
      </c>
      <c r="J20" s="242">
        <f t="shared" ref="J20" si="228">IFERROR(J19/G19-1,0)</f>
        <v>3.9938556067588227E-2</v>
      </c>
      <c r="K20" s="53">
        <f>IFERROR(K19/H19-1,0)</f>
        <v>-8.6164451009354992E-2</v>
      </c>
      <c r="L20" s="53">
        <f t="shared" ref="L20" si="229">IFERROR(L19/I19-1,0)</f>
        <v>0</v>
      </c>
      <c r="M20" s="242">
        <f t="shared" ref="M20" si="230">IFERROR(M19/J19-1,0)</f>
        <v>-8.6164451009354992E-2</v>
      </c>
      <c r="N20" s="53">
        <f t="shared" ref="N20" si="231">IFERROR(N19/K19-1,0)</f>
        <v>-0.30926724137931039</v>
      </c>
      <c r="O20" s="53">
        <f t="shared" ref="O20" si="232">IFERROR(O19/L19-1,0)</f>
        <v>0</v>
      </c>
      <c r="P20" s="242">
        <f t="shared" ref="P20" si="233">IFERROR(P19/M19-1,0)</f>
        <v>-0.30926724137931039</v>
      </c>
      <c r="Q20" s="53">
        <f t="shared" ref="Q20" si="234">IFERROR(Q19/N19-1,0)</f>
        <v>-0.14508580343213728</v>
      </c>
      <c r="R20" s="53">
        <f t="shared" ref="R20" si="235">IFERROR(R19/O19-1,0)</f>
        <v>0</v>
      </c>
      <c r="S20" s="242">
        <f t="shared" ref="S20" si="236">IFERROR(S19/P19-1,0)</f>
        <v>-0.14508580343213728</v>
      </c>
      <c r="T20" s="53">
        <f t="shared" ref="T20" si="237">IFERROR(T19/Q19-1,0)</f>
        <v>-7.8467153284671576E-2</v>
      </c>
      <c r="U20" s="53">
        <f t="shared" ref="U20" si="238">IFERROR(U19/R19-1,0)</f>
        <v>0</v>
      </c>
      <c r="V20" s="242">
        <f t="shared" ref="V20" si="239">IFERROR(V19/S19-1,0)</f>
        <v>-7.8467153284671576E-2</v>
      </c>
      <c r="W20" s="53">
        <f t="shared" ref="W20" si="240">IFERROR(W19/T19-1,0)</f>
        <v>-0.1415841584158416</v>
      </c>
      <c r="X20" s="53">
        <f t="shared" ref="X20" si="241">IFERROR(X19/U19-1,0)</f>
        <v>0</v>
      </c>
      <c r="Y20" s="242">
        <f t="shared" ref="Y20" si="242">IFERROR(Y19/V19-1,0)</f>
        <v>-0.1415841584158416</v>
      </c>
      <c r="Z20" s="53">
        <f t="shared" ref="Z20" si="243">IFERROR(Z19/W19-1,0)</f>
        <v>-0.31026528258362174</v>
      </c>
      <c r="AA20" s="53">
        <f t="shared" ref="AA20" si="244">IFERROR(AA19/X19-1,0)</f>
        <v>0</v>
      </c>
      <c r="AB20" s="242">
        <f t="shared" ref="AB20" si="245">IFERROR(AB19/Y19-1,0)</f>
        <v>-0.31026528258362174</v>
      </c>
      <c r="AC20" s="53">
        <f t="shared" ref="AC20" si="246">IFERROR(AC19/Z19-1,0)</f>
        <v>-0.12876254180602009</v>
      </c>
      <c r="AD20" s="53">
        <f t="shared" ref="AD20" si="247">IFERROR(AD19/AA19-1,0)</f>
        <v>0</v>
      </c>
      <c r="AE20" s="242">
        <f t="shared" ref="AE20" si="248">IFERROR(AE19/AB19-1,0)</f>
        <v>-0.12876254180602009</v>
      </c>
      <c r="AF20" s="53">
        <f t="shared" ref="AF20" si="249">IFERROR(AF19/AC19-1,0)</f>
        <v>-2.8790786948176605E-2</v>
      </c>
      <c r="AG20" s="53">
        <f t="shared" ref="AG20" si="250">IFERROR(AG19/AD19-1,0)</f>
        <v>0</v>
      </c>
      <c r="AH20" s="242">
        <f t="shared" ref="AH20" si="251">IFERROR(AH19/AE19-1,0)</f>
        <v>-2.8790786948176605E-2</v>
      </c>
      <c r="AI20" s="53">
        <f>IFERROR(AI19/AF19-1,0)</f>
        <v>-0.88142292490118579</v>
      </c>
      <c r="AJ20" s="53">
        <f t="shared" ref="AJ20:AK20" si="252">IFERROR(AJ19/AG19-1,0)</f>
        <v>0</v>
      </c>
      <c r="AK20" s="242">
        <f t="shared" si="252"/>
        <v>-0.88142292490118579</v>
      </c>
      <c r="AL20" s="53">
        <f t="shared" ref="AL20" si="253">IFERROR(AL19/AI19-1,0)</f>
        <v>1.6666666666666607E-2</v>
      </c>
      <c r="AM20" s="53">
        <f t="shared" ref="AM20:AN20" si="254">IFERROR(AM19/AJ19-1,0)</f>
        <v>0</v>
      </c>
      <c r="AN20" s="242">
        <f t="shared" si="254"/>
        <v>1.6666666666666607E-2</v>
      </c>
      <c r="AO20" s="53">
        <f t="shared" ref="AO20" si="255">IFERROR(AO19/AL19-1,0)</f>
        <v>-0.18032786885245899</v>
      </c>
      <c r="AP20" s="53">
        <f t="shared" ref="AP20" si="256">IFERROR(AP19/AM19-1,0)</f>
        <v>0</v>
      </c>
      <c r="AQ20" s="242">
        <f t="shared" ref="AQ20:AT20" si="257">IFERROR(AQ19/AN19-1,0)</f>
        <v>-0.18032786885245899</v>
      </c>
      <c r="AR20" s="53">
        <f t="shared" ref="AR20" si="258">IFERROR(AR19/AO19-1,0)</f>
        <v>0.10000000000000009</v>
      </c>
      <c r="AS20" s="53">
        <f t="shared" si="257"/>
        <v>0</v>
      </c>
      <c r="AT20" s="242">
        <f t="shared" si="257"/>
        <v>0.10000000000000009</v>
      </c>
      <c r="AU20" s="283">
        <f>IFERROR(AU19/AF19-1,0)</f>
        <v>-0.55335968379446643</v>
      </c>
      <c r="AV20" s="283">
        <f t="shared" ref="AV20" si="259">IFERROR(AV19/AG19-1,0)</f>
        <v>0</v>
      </c>
      <c r="AW20" s="242">
        <f>IFERROR(AW19/AH19-1,0)</f>
        <v>-0.55335968379446643</v>
      </c>
      <c r="AX20" s="210">
        <f>AVERAGE(Q20,T20,W20,Z20,AC20,AF20,AU20,N20,K20,H20)</f>
        <v>-0.17418085465860123</v>
      </c>
      <c r="AY20" s="210">
        <f>AVERAGE(R20,U20,X20,AA20,AD20,AG20,AV20,O20,L20,I20)</f>
        <v>0</v>
      </c>
      <c r="AZ20" s="236"/>
      <c r="BA20" s="236"/>
      <c r="BB20" s="240"/>
      <c r="BC20" s="236"/>
      <c r="BD20" s="236"/>
      <c r="BE20" s="240"/>
      <c r="BF20" s="236"/>
      <c r="BG20" s="236"/>
      <c r="BH20" s="240"/>
      <c r="BI20" s="236"/>
      <c r="BJ20" s="236"/>
      <c r="BK20" s="240"/>
      <c r="BL20" s="236"/>
      <c r="BM20" s="236"/>
      <c r="BN20" s="240"/>
    </row>
    <row r="21" spans="1:66" x14ac:dyDescent="0.35">
      <c r="A21" s="244" t="s">
        <v>29</v>
      </c>
      <c r="E21" s="236"/>
      <c r="F21" s="236"/>
      <c r="G21" s="240"/>
      <c r="H21" s="247">
        <f>H20</f>
        <v>3.9938556067588227E-2</v>
      </c>
      <c r="I21" s="247">
        <f t="shared" ref="I21" si="260">I20</f>
        <v>0</v>
      </c>
      <c r="J21" s="248">
        <f t="shared" ref="J21" si="261">J20</f>
        <v>3.9938556067588227E-2</v>
      </c>
      <c r="K21" s="247">
        <f t="shared" ref="K21" si="262">K20</f>
        <v>-8.6164451009354992E-2</v>
      </c>
      <c r="L21" s="247">
        <f t="shared" ref="L21" si="263">L20</f>
        <v>0</v>
      </c>
      <c r="M21" s="248">
        <f t="shared" ref="M21" si="264">M20</f>
        <v>-8.6164451009354992E-2</v>
      </c>
      <c r="N21" s="247">
        <f t="shared" ref="N21" si="265">N20</f>
        <v>-0.30926724137931039</v>
      </c>
      <c r="O21" s="247">
        <f t="shared" ref="O21" si="266">O20</f>
        <v>0</v>
      </c>
      <c r="P21" s="248">
        <f t="shared" ref="P21" si="267">P20</f>
        <v>-0.30926724137931039</v>
      </c>
      <c r="Q21" s="247">
        <f t="shared" ref="Q21" si="268">Q20</f>
        <v>-0.14508580343213728</v>
      </c>
      <c r="R21" s="247">
        <f t="shared" ref="R21" si="269">R20</f>
        <v>0</v>
      </c>
      <c r="S21" s="248">
        <f t="shared" ref="S21" si="270">S20</f>
        <v>-0.14508580343213728</v>
      </c>
      <c r="T21" s="247">
        <f t="shared" ref="T21" si="271">T20</f>
        <v>-7.8467153284671576E-2</v>
      </c>
      <c r="U21" s="247">
        <f t="shared" ref="U21" si="272">U20</f>
        <v>0</v>
      </c>
      <c r="V21" s="248">
        <f t="shared" ref="V21" si="273">V20</f>
        <v>-7.8467153284671576E-2</v>
      </c>
      <c r="W21" s="247">
        <f t="shared" ref="W21" si="274">W20</f>
        <v>-0.1415841584158416</v>
      </c>
      <c r="X21" s="247">
        <f t="shared" ref="X21" si="275">X20</f>
        <v>0</v>
      </c>
      <c r="Y21" s="248">
        <f t="shared" ref="Y21" si="276">Y20</f>
        <v>-0.1415841584158416</v>
      </c>
      <c r="Z21" s="247">
        <f t="shared" ref="Z21" si="277">Z20</f>
        <v>-0.31026528258362174</v>
      </c>
      <c r="AA21" s="247">
        <f t="shared" ref="AA21" si="278">AA20</f>
        <v>0</v>
      </c>
      <c r="AB21" s="248">
        <f t="shared" ref="AB21" si="279">AB20</f>
        <v>-0.31026528258362174</v>
      </c>
      <c r="AC21" s="247">
        <f t="shared" ref="AC21" si="280">AC20</f>
        <v>-0.12876254180602009</v>
      </c>
      <c r="AD21" s="247">
        <f t="shared" ref="AD21" si="281">AD20</f>
        <v>0</v>
      </c>
      <c r="AE21" s="248">
        <f t="shared" ref="AE21" si="282">AE20</f>
        <v>-0.12876254180602009</v>
      </c>
      <c r="AF21" s="247">
        <f t="shared" ref="AF21" si="283">AF20</f>
        <v>-2.8790786948176605E-2</v>
      </c>
      <c r="AG21" s="247">
        <f t="shared" ref="AG21" si="284">AG20</f>
        <v>0</v>
      </c>
      <c r="AH21" s="248">
        <f t="shared" ref="AH21" si="285">AH20</f>
        <v>-2.8790786948176605E-2</v>
      </c>
      <c r="AI21" s="249">
        <f>AI20</f>
        <v>-0.88142292490118579</v>
      </c>
      <c r="AJ21" s="249">
        <f t="shared" ref="AJ21" si="286">AJ20</f>
        <v>0</v>
      </c>
      <c r="AK21" s="249">
        <f t="shared" ref="AK21" si="287">AK20</f>
        <v>-0.88142292490118579</v>
      </c>
      <c r="AL21" s="249">
        <f t="shared" ref="AL21" si="288">AL20</f>
        <v>1.6666666666666607E-2</v>
      </c>
      <c r="AM21" s="249">
        <f t="shared" ref="AM21" si="289">AM20</f>
        <v>0</v>
      </c>
      <c r="AN21" s="249">
        <f t="shared" ref="AN21" si="290">AN20</f>
        <v>1.6666666666666607E-2</v>
      </c>
      <c r="AO21" s="249">
        <f t="shared" ref="AO21" si="291">AO20</f>
        <v>-0.18032786885245899</v>
      </c>
      <c r="AP21" s="249">
        <f t="shared" ref="AP21" si="292">AP20</f>
        <v>0</v>
      </c>
      <c r="AQ21" s="249">
        <f t="shared" ref="AQ21" si="293">AQ20</f>
        <v>-0.18032786885245899</v>
      </c>
      <c r="AR21" s="249">
        <f t="shared" ref="AR21" si="294">AR20</f>
        <v>0.10000000000000009</v>
      </c>
      <c r="AS21" s="249">
        <f t="shared" ref="AS21" si="295">AS20</f>
        <v>0</v>
      </c>
      <c r="AT21" s="249">
        <f t="shared" ref="AT21" si="296">AT20</f>
        <v>0.10000000000000009</v>
      </c>
      <c r="AU21" s="250">
        <f>AU20</f>
        <v>-0.55335968379446643</v>
      </c>
      <c r="AV21" s="250">
        <f t="shared" ref="AV21" si="297">AV20</f>
        <v>0</v>
      </c>
      <c r="AW21" s="248">
        <f t="shared" ref="AW21" si="298">AW20</f>
        <v>-0.55335968379446643</v>
      </c>
      <c r="AX21" s="278"/>
      <c r="AY21" s="278"/>
      <c r="AZ21" s="236"/>
      <c r="BA21" s="236"/>
      <c r="BB21" s="240"/>
      <c r="BC21" s="236"/>
      <c r="BD21" s="236"/>
      <c r="BE21" s="240"/>
      <c r="BF21" s="236"/>
      <c r="BG21" s="236"/>
      <c r="BH21" s="240"/>
      <c r="BI21" s="236"/>
      <c r="BJ21" s="236"/>
      <c r="BK21" s="240"/>
      <c r="BL21" s="236"/>
      <c r="BM21" s="236"/>
      <c r="BN21" s="240"/>
    </row>
    <row r="22" spans="1:66" x14ac:dyDescent="0.35">
      <c r="A22" s="69" t="s">
        <v>32</v>
      </c>
      <c r="B22" s="2"/>
      <c r="C22" s="2"/>
      <c r="D22" s="2"/>
      <c r="E22" s="259">
        <v>757</v>
      </c>
      <c r="F22" s="259">
        <v>332</v>
      </c>
      <c r="G22" s="260">
        <f>E22+F22</f>
        <v>1089</v>
      </c>
      <c r="H22" s="259">
        <v>796</v>
      </c>
      <c r="I22" s="259">
        <v>362</v>
      </c>
      <c r="J22" s="260">
        <f>H22+I22</f>
        <v>1158</v>
      </c>
      <c r="K22" s="259">
        <v>1069</v>
      </c>
      <c r="L22" s="259">
        <v>346</v>
      </c>
      <c r="M22" s="260">
        <f>K22+L22</f>
        <v>1415</v>
      </c>
      <c r="N22" s="259">
        <v>1240</v>
      </c>
      <c r="O22" s="259">
        <v>342</v>
      </c>
      <c r="P22" s="260">
        <f>N22+O22</f>
        <v>1582</v>
      </c>
      <c r="Q22" s="259">
        <v>1374</v>
      </c>
      <c r="R22" s="259">
        <v>344</v>
      </c>
      <c r="S22" s="260">
        <f>Q22+R22</f>
        <v>1718</v>
      </c>
      <c r="T22" s="259">
        <v>1436</v>
      </c>
      <c r="U22" s="259">
        <v>338</v>
      </c>
      <c r="V22" s="260">
        <f>T22+U22</f>
        <v>1774</v>
      </c>
      <c r="W22" s="259">
        <v>252</v>
      </c>
      <c r="X22" s="259">
        <v>299</v>
      </c>
      <c r="Y22" s="260">
        <f>W22+X22</f>
        <v>551</v>
      </c>
      <c r="Z22" s="259">
        <v>92</v>
      </c>
      <c r="AA22" s="259">
        <v>196</v>
      </c>
      <c r="AB22" s="260">
        <f>Z22+AA22</f>
        <v>288</v>
      </c>
      <c r="AC22" s="259">
        <v>6</v>
      </c>
      <c r="AD22" s="259">
        <v>78</v>
      </c>
      <c r="AE22" s="260">
        <f>AC22+AD22</f>
        <v>84</v>
      </c>
      <c r="AF22" s="259">
        <v>10</v>
      </c>
      <c r="AG22" s="259">
        <v>54</v>
      </c>
      <c r="AH22" s="260">
        <f>AF22+AG22</f>
        <v>64</v>
      </c>
      <c r="AI22" s="6">
        <v>0</v>
      </c>
      <c r="AJ22" s="6">
        <v>0</v>
      </c>
      <c r="AK22" s="5">
        <f>AJ22+AI22</f>
        <v>0</v>
      </c>
      <c r="AL22" s="6">
        <v>0</v>
      </c>
      <c r="AM22" s="6">
        <v>0</v>
      </c>
      <c r="AN22" s="5">
        <f>AM22+AL22</f>
        <v>0</v>
      </c>
      <c r="AO22" s="6">
        <v>0</v>
      </c>
      <c r="AP22" s="6">
        <v>0</v>
      </c>
      <c r="AQ22" s="5">
        <f>AP22+AO22</f>
        <v>0</v>
      </c>
      <c r="AR22" s="6">
        <v>0</v>
      </c>
      <c r="AS22" s="6">
        <v>0</v>
      </c>
      <c r="AT22" s="5">
        <f>AS22+AR22</f>
        <v>0</v>
      </c>
      <c r="AU22" s="259">
        <f>AI22+AL22+AO22+AR22</f>
        <v>0</v>
      </c>
      <c r="AV22" s="259">
        <f>AJ22+AM22+AP22+AS22</f>
        <v>0</v>
      </c>
      <c r="AW22" s="260">
        <f>AU22+AV22</f>
        <v>0</v>
      </c>
      <c r="AX22" s="277"/>
      <c r="AY22" s="277"/>
      <c r="AZ22" s="259">
        <f>AU22*(1+AX23)</f>
        <v>0</v>
      </c>
      <c r="BA22" s="259">
        <f>AV22*(1+AY23)</f>
        <v>0</v>
      </c>
      <c r="BB22" s="260">
        <f>AZ22+BA22</f>
        <v>0</v>
      </c>
      <c r="BC22" s="259">
        <f>AZ22*(1+$AX23)</f>
        <v>0</v>
      </c>
      <c r="BD22" s="259">
        <f>BA22*(1+$AY23)</f>
        <v>0</v>
      </c>
      <c r="BE22" s="260">
        <f>BC22+BD22</f>
        <v>0</v>
      </c>
      <c r="BF22" s="259">
        <f>BC22*(1+$AX23)</f>
        <v>0</v>
      </c>
      <c r="BG22" s="259">
        <f>BD22*(1+$AY23)</f>
        <v>0</v>
      </c>
      <c r="BH22" s="260">
        <f>BF22+BG22</f>
        <v>0</v>
      </c>
      <c r="BI22" s="259">
        <f>BF22*(1+$AX23)</f>
        <v>0</v>
      </c>
      <c r="BJ22" s="259">
        <f>BG22*(1+$AY23)</f>
        <v>0</v>
      </c>
      <c r="BK22" s="260">
        <f>BI22+BJ22</f>
        <v>0</v>
      </c>
      <c r="BL22" s="259">
        <f>BI22*(1+$AX23)</f>
        <v>0</v>
      </c>
      <c r="BM22" s="259">
        <f>BJ22*(1+$AY23)</f>
        <v>0</v>
      </c>
      <c r="BN22" s="260">
        <f>BL22+BM22</f>
        <v>0</v>
      </c>
    </row>
    <row r="23" spans="1:66" x14ac:dyDescent="0.35">
      <c r="A23" s="241" t="s">
        <v>28</v>
      </c>
      <c r="E23" s="53"/>
      <c r="F23" s="53"/>
      <c r="G23" s="242"/>
      <c r="H23" s="53">
        <f t="shared" ref="H23" si="299">IFERROR(H22/E22-1,0)</f>
        <v>5.1519154557463587E-2</v>
      </c>
      <c r="I23" s="53">
        <f t="shared" ref="I23" si="300">IFERROR(I22/F22-1,0)</f>
        <v>9.0361445783132543E-2</v>
      </c>
      <c r="J23" s="242">
        <f t="shared" ref="J23" si="301">IFERROR(J22/G22-1,0)</f>
        <v>6.336088154269981E-2</v>
      </c>
      <c r="K23" s="53">
        <f>IFERROR(K22/H22-1,0)</f>
        <v>0.34296482412060292</v>
      </c>
      <c r="L23" s="53">
        <f t="shared" ref="L23" si="302">IFERROR(L22/I22-1,0)</f>
        <v>-4.4198895027624308E-2</v>
      </c>
      <c r="M23" s="242">
        <f t="shared" ref="M23" si="303">IFERROR(M22/J22-1,0)</f>
        <v>0.22193436960276336</v>
      </c>
      <c r="N23" s="53">
        <f t="shared" ref="N23" si="304">IFERROR(N22/K22-1,0)</f>
        <v>0.15996258185219836</v>
      </c>
      <c r="O23" s="53">
        <f t="shared" ref="O23" si="305">IFERROR(O22/L22-1,0)</f>
        <v>-1.1560693641618491E-2</v>
      </c>
      <c r="P23" s="242">
        <f t="shared" ref="P23" si="306">IFERROR(P22/M22-1,0)</f>
        <v>0.11802120141342765</v>
      </c>
      <c r="Q23" s="53">
        <f t="shared" ref="Q23" si="307">IFERROR(Q22/N22-1,0)</f>
        <v>0.10806451612903234</v>
      </c>
      <c r="R23" s="53">
        <f t="shared" ref="R23" si="308">IFERROR(R22/O22-1,0)</f>
        <v>5.8479532163742132E-3</v>
      </c>
      <c r="S23" s="242">
        <f t="shared" ref="S23" si="309">IFERROR(S22/P22-1,0)</f>
        <v>8.5967130214917864E-2</v>
      </c>
      <c r="T23" s="53">
        <f t="shared" ref="T23" si="310">IFERROR(T22/Q22-1,0)</f>
        <v>4.512372634643369E-2</v>
      </c>
      <c r="U23" s="53">
        <f t="shared" ref="U23" si="311">IFERROR(U22/R22-1,0)</f>
        <v>-1.744186046511631E-2</v>
      </c>
      <c r="V23" s="242">
        <f t="shared" ref="V23" si="312">IFERROR(V22/S22-1,0)</f>
        <v>3.2596041909196849E-2</v>
      </c>
      <c r="W23" s="53">
        <f t="shared" ref="W23" si="313">IFERROR(W22/T22-1,0)</f>
        <v>-0.82451253481894149</v>
      </c>
      <c r="X23" s="53">
        <f t="shared" ref="X23" si="314">IFERROR(X22/U22-1,0)</f>
        <v>-0.11538461538461542</v>
      </c>
      <c r="Y23" s="242">
        <f t="shared" ref="Y23" si="315">IFERROR(Y22/V22-1,0)</f>
        <v>-0.68940248027057494</v>
      </c>
      <c r="Z23" s="53">
        <f t="shared" ref="Z23" si="316">IFERROR(Z22/W22-1,0)</f>
        <v>-0.63492063492063489</v>
      </c>
      <c r="AA23" s="53">
        <f t="shared" ref="AA23" si="317">IFERROR(AA22/X22-1,0)</f>
        <v>-0.34448160535117056</v>
      </c>
      <c r="AB23" s="242">
        <f t="shared" ref="AB23" si="318">IFERROR(AB22/Y22-1,0)</f>
        <v>-0.47731397459165159</v>
      </c>
      <c r="AC23" s="53">
        <f t="shared" ref="AC23" si="319">IFERROR(AC22/Z22-1,0)</f>
        <v>-0.93478260869565222</v>
      </c>
      <c r="AD23" s="53">
        <f t="shared" ref="AD23" si="320">IFERROR(AD22/AA22-1,0)</f>
        <v>-0.60204081632653061</v>
      </c>
      <c r="AE23" s="242">
        <f t="shared" ref="AE23" si="321">IFERROR(AE22/AB22-1,0)</f>
        <v>-0.70833333333333326</v>
      </c>
      <c r="AF23" s="53">
        <f t="shared" ref="AF23" si="322">IFERROR(AF22/AC22-1,0)</f>
        <v>0.66666666666666674</v>
      </c>
      <c r="AG23" s="53">
        <f t="shared" ref="AG23" si="323">IFERROR(AG22/AD22-1,0)</f>
        <v>-0.30769230769230771</v>
      </c>
      <c r="AH23" s="242">
        <f t="shared" ref="AH23" si="324">IFERROR(AH22/AE22-1,0)</f>
        <v>-0.23809523809523814</v>
      </c>
      <c r="AI23" s="53">
        <f>IFERROR(AI22/AF22-1,0)</f>
        <v>-1</v>
      </c>
      <c r="AJ23" s="53">
        <f t="shared" ref="AJ23:AK23" si="325">IFERROR(AJ22/AG22-1,0)</f>
        <v>-1</v>
      </c>
      <c r="AK23" s="242">
        <f t="shared" si="325"/>
        <v>-1</v>
      </c>
      <c r="AL23" s="53">
        <f t="shared" ref="AL23" si="326">IFERROR(AL22/AI22-1,0)</f>
        <v>0</v>
      </c>
      <c r="AM23" s="53">
        <f t="shared" ref="AM23:AN23" si="327">IFERROR(AM22/AJ22-1,0)</f>
        <v>0</v>
      </c>
      <c r="AN23" s="242">
        <f t="shared" si="327"/>
        <v>0</v>
      </c>
      <c r="AO23" s="53">
        <f t="shared" ref="AO23" si="328">IFERROR(AO22/AL22-1,0)</f>
        <v>0</v>
      </c>
      <c r="AP23" s="53">
        <f t="shared" ref="AP23" si="329">IFERROR(AP22/AM22-1,0)</f>
        <v>0</v>
      </c>
      <c r="AQ23" s="242">
        <f t="shared" ref="AQ23:AT23" si="330">IFERROR(AQ22/AN22-1,0)</f>
        <v>0</v>
      </c>
      <c r="AR23" s="53">
        <f t="shared" ref="AR23" si="331">IFERROR(AR22/AO22-1,0)</f>
        <v>0</v>
      </c>
      <c r="AS23" s="53">
        <f t="shared" si="330"/>
        <v>0</v>
      </c>
      <c r="AT23" s="242">
        <f t="shared" si="330"/>
        <v>0</v>
      </c>
      <c r="AU23" s="283">
        <f>MAX(0,IFERROR(AU22/AF22-1,0))</f>
        <v>0</v>
      </c>
      <c r="AV23" s="283">
        <f t="shared" ref="AV23" si="332">MAX(0,IFERROR(AV22/AG22-1,0))</f>
        <v>0</v>
      </c>
      <c r="AW23" s="242">
        <f t="shared" ref="AW23" si="333">MAX(0,IFERROR(AW22/AH22-1,0))</f>
        <v>0</v>
      </c>
      <c r="AX23" s="210">
        <f>AVERAGE(W23,Z23,AC23,AF23,AU23)</f>
        <v>-0.34550982235371241</v>
      </c>
      <c r="AY23" s="210">
        <f>AVERAGE(X23,AA23,AD23,AG23,AV23)</f>
        <v>-0.27391986895092485</v>
      </c>
      <c r="AZ23" s="236"/>
      <c r="BA23" s="236"/>
      <c r="BB23" s="240"/>
      <c r="BC23" s="236"/>
      <c r="BD23" s="236"/>
      <c r="BE23" s="240"/>
      <c r="BF23" s="236"/>
      <c r="BG23" s="236"/>
      <c r="BH23" s="240"/>
      <c r="BI23" s="236"/>
      <c r="BJ23" s="236"/>
      <c r="BK23" s="240"/>
      <c r="BL23" s="236"/>
      <c r="BM23" s="236"/>
      <c r="BN23" s="240"/>
    </row>
    <row r="24" spans="1:66" x14ac:dyDescent="0.35">
      <c r="A24" s="244" t="s">
        <v>29</v>
      </c>
      <c r="E24" s="236"/>
      <c r="F24" s="236"/>
      <c r="G24" s="240"/>
      <c r="H24" s="247">
        <f>H23</f>
        <v>5.1519154557463587E-2</v>
      </c>
      <c r="I24" s="247">
        <f t="shared" ref="I24" si="334">I23</f>
        <v>9.0361445783132543E-2</v>
      </c>
      <c r="J24" s="248">
        <f t="shared" ref="J24" si="335">J23</f>
        <v>6.336088154269981E-2</v>
      </c>
      <c r="K24" s="247">
        <f t="shared" ref="K24" si="336">K23</f>
        <v>0.34296482412060292</v>
      </c>
      <c r="L24" s="247">
        <f t="shared" ref="L24" si="337">L23</f>
        <v>-4.4198895027624308E-2</v>
      </c>
      <c r="M24" s="248">
        <f t="shared" ref="M24" si="338">M23</f>
        <v>0.22193436960276336</v>
      </c>
      <c r="N24" s="247">
        <f t="shared" ref="N24" si="339">N23</f>
        <v>0.15996258185219836</v>
      </c>
      <c r="O24" s="247">
        <f t="shared" ref="O24" si="340">O23</f>
        <v>-1.1560693641618491E-2</v>
      </c>
      <c r="P24" s="248">
        <f t="shared" ref="P24" si="341">P23</f>
        <v>0.11802120141342765</v>
      </c>
      <c r="Q24" s="247">
        <f t="shared" ref="Q24" si="342">Q23</f>
        <v>0.10806451612903234</v>
      </c>
      <c r="R24" s="247">
        <f t="shared" ref="R24" si="343">R23</f>
        <v>5.8479532163742132E-3</v>
      </c>
      <c r="S24" s="248">
        <f t="shared" ref="S24" si="344">S23</f>
        <v>8.5967130214917864E-2</v>
      </c>
      <c r="T24" s="247">
        <f t="shared" ref="T24" si="345">T23</f>
        <v>4.512372634643369E-2</v>
      </c>
      <c r="U24" s="247">
        <f t="shared" ref="U24" si="346">U23</f>
        <v>-1.744186046511631E-2</v>
      </c>
      <c r="V24" s="248">
        <f t="shared" ref="V24" si="347">V23</f>
        <v>3.2596041909196849E-2</v>
      </c>
      <c r="W24" s="247">
        <f t="shared" ref="W24" si="348">W23</f>
        <v>-0.82451253481894149</v>
      </c>
      <c r="X24" s="247">
        <f t="shared" ref="X24" si="349">X23</f>
        <v>-0.11538461538461542</v>
      </c>
      <c r="Y24" s="248">
        <f t="shared" ref="Y24" si="350">Y23</f>
        <v>-0.68940248027057494</v>
      </c>
      <c r="Z24" s="247">
        <f t="shared" ref="Z24" si="351">Z23</f>
        <v>-0.63492063492063489</v>
      </c>
      <c r="AA24" s="247">
        <f t="shared" ref="AA24" si="352">AA23</f>
        <v>-0.34448160535117056</v>
      </c>
      <c r="AB24" s="248">
        <f t="shared" ref="AB24" si="353">AB23</f>
        <v>-0.47731397459165159</v>
      </c>
      <c r="AC24" s="247">
        <f t="shared" ref="AC24" si="354">AC23</f>
        <v>-0.93478260869565222</v>
      </c>
      <c r="AD24" s="247">
        <f t="shared" ref="AD24" si="355">AD23</f>
        <v>-0.60204081632653061</v>
      </c>
      <c r="AE24" s="248">
        <f t="shared" ref="AE24" si="356">AE23</f>
        <v>-0.70833333333333326</v>
      </c>
      <c r="AF24" s="247">
        <f t="shared" ref="AF24" si="357">AF23</f>
        <v>0.66666666666666674</v>
      </c>
      <c r="AG24" s="247">
        <f t="shared" ref="AG24" si="358">AG23</f>
        <v>-0.30769230769230771</v>
      </c>
      <c r="AH24" s="248">
        <f t="shared" ref="AH24" si="359">AH23</f>
        <v>-0.23809523809523814</v>
      </c>
      <c r="AI24" s="249">
        <f>AI23</f>
        <v>-1</v>
      </c>
      <c r="AJ24" s="249">
        <f t="shared" ref="AJ24" si="360">AJ23</f>
        <v>-1</v>
      </c>
      <c r="AK24" s="249">
        <f t="shared" ref="AK24" si="361">AK23</f>
        <v>-1</v>
      </c>
      <c r="AL24" s="249">
        <f t="shared" ref="AL24" si="362">AL23</f>
        <v>0</v>
      </c>
      <c r="AM24" s="249">
        <f t="shared" ref="AM24" si="363">AM23</f>
        <v>0</v>
      </c>
      <c r="AN24" s="249">
        <f t="shared" ref="AN24" si="364">AN23</f>
        <v>0</v>
      </c>
      <c r="AO24" s="249">
        <f t="shared" ref="AO24" si="365">AO23</f>
        <v>0</v>
      </c>
      <c r="AP24" s="249">
        <f t="shared" ref="AP24" si="366">AP23</f>
        <v>0</v>
      </c>
      <c r="AQ24" s="249">
        <f t="shared" ref="AQ24" si="367">AQ23</f>
        <v>0</v>
      </c>
      <c r="AR24" s="249">
        <f t="shared" ref="AR24" si="368">AR23</f>
        <v>0</v>
      </c>
      <c r="AS24" s="249">
        <f t="shared" ref="AS24" si="369">AS23</f>
        <v>0</v>
      </c>
      <c r="AT24" s="249">
        <f t="shared" ref="AT24" si="370">AT23</f>
        <v>0</v>
      </c>
      <c r="AU24" s="250">
        <f>AU23</f>
        <v>0</v>
      </c>
      <c r="AV24" s="250">
        <f t="shared" ref="AV24" si="371">AV23</f>
        <v>0</v>
      </c>
      <c r="AW24" s="248">
        <f t="shared" ref="AW24" si="372">AW23</f>
        <v>0</v>
      </c>
      <c r="AX24" s="278"/>
      <c r="AY24" s="278"/>
      <c r="AZ24" s="236"/>
      <c r="BA24" s="236"/>
      <c r="BB24" s="240"/>
      <c r="BC24" s="236"/>
      <c r="BD24" s="236"/>
      <c r="BE24" s="240"/>
      <c r="BF24" s="236"/>
      <c r="BG24" s="236"/>
      <c r="BH24" s="240"/>
      <c r="BI24" s="236"/>
      <c r="BJ24" s="236"/>
      <c r="BK24" s="240"/>
      <c r="BL24" s="236"/>
      <c r="BM24" s="236"/>
      <c r="BN24" s="240"/>
    </row>
    <row r="25" spans="1:66" x14ac:dyDescent="0.35">
      <c r="A25" s="69" t="s">
        <v>8</v>
      </c>
      <c r="B25" s="2"/>
      <c r="C25" s="2"/>
      <c r="D25" s="2"/>
      <c r="E25" s="259">
        <v>126</v>
      </c>
      <c r="F25" s="259">
        <v>263</v>
      </c>
      <c r="G25" s="260">
        <f>E25+F25</f>
        <v>389</v>
      </c>
      <c r="H25" s="259">
        <v>168</v>
      </c>
      <c r="I25" s="259">
        <v>337</v>
      </c>
      <c r="J25" s="260">
        <f>H25+I25</f>
        <v>505</v>
      </c>
      <c r="K25" s="259">
        <v>204</v>
      </c>
      <c r="L25" s="259">
        <v>345</v>
      </c>
      <c r="M25" s="260">
        <f>K25+L25</f>
        <v>549</v>
      </c>
      <c r="N25" s="259">
        <v>229</v>
      </c>
      <c r="O25" s="259">
        <v>382</v>
      </c>
      <c r="P25" s="260">
        <f>N25+O25</f>
        <v>611</v>
      </c>
      <c r="Q25" s="259">
        <v>251</v>
      </c>
      <c r="R25" s="259">
        <v>391</v>
      </c>
      <c r="S25" s="260">
        <f>Q25+R25</f>
        <v>642</v>
      </c>
      <c r="T25" s="259">
        <v>288</v>
      </c>
      <c r="U25" s="259">
        <v>403</v>
      </c>
      <c r="V25" s="260">
        <f>T25+U25</f>
        <v>691</v>
      </c>
      <c r="W25" s="259">
        <v>316</v>
      </c>
      <c r="X25" s="259">
        <v>428</v>
      </c>
      <c r="Y25" s="260">
        <f>W25+X25</f>
        <v>744</v>
      </c>
      <c r="Z25" s="259">
        <v>342</v>
      </c>
      <c r="AA25" s="259">
        <v>469</v>
      </c>
      <c r="AB25" s="260">
        <f>Z25+AA25</f>
        <v>811</v>
      </c>
      <c r="AC25" s="259">
        <v>347</v>
      </c>
      <c r="AD25" s="259">
        <v>526</v>
      </c>
      <c r="AE25" s="260">
        <f>AC25+AD25</f>
        <v>873</v>
      </c>
      <c r="AF25" s="259">
        <v>396</v>
      </c>
      <c r="AG25" s="259">
        <v>497</v>
      </c>
      <c r="AH25" s="260">
        <f>AF25+AG25</f>
        <v>893</v>
      </c>
      <c r="AI25" s="6">
        <v>111</v>
      </c>
      <c r="AJ25" s="6">
        <v>122</v>
      </c>
      <c r="AK25" s="5">
        <f>AJ25+AI25</f>
        <v>233</v>
      </c>
      <c r="AL25" s="6">
        <v>118</v>
      </c>
      <c r="AM25" s="6">
        <v>130</v>
      </c>
      <c r="AN25" s="5">
        <f>AM25+AL25</f>
        <v>248</v>
      </c>
      <c r="AO25" s="6">
        <v>116</v>
      </c>
      <c r="AP25" s="6">
        <v>136</v>
      </c>
      <c r="AQ25" s="5">
        <f>AP25+AO25</f>
        <v>252</v>
      </c>
      <c r="AR25" s="6">
        <v>116</v>
      </c>
      <c r="AS25" s="6">
        <v>135</v>
      </c>
      <c r="AT25" s="5">
        <f>AS25+AR25</f>
        <v>251</v>
      </c>
      <c r="AU25" s="259">
        <f>AI25+AL25+AO25+AR25</f>
        <v>461</v>
      </c>
      <c r="AV25" s="259">
        <f>AJ25+AM25+AP25+AS25</f>
        <v>523</v>
      </c>
      <c r="AW25" s="260">
        <f>AU25+AV25</f>
        <v>984</v>
      </c>
      <c r="AX25" s="277"/>
      <c r="AY25" s="277"/>
      <c r="AZ25" s="259">
        <f>AU25*(1+AX26)</f>
        <v>521.79654037407477</v>
      </c>
      <c r="BA25" s="259">
        <f>AV25*(1+AY26)</f>
        <v>552.90216485014298</v>
      </c>
      <c r="BB25" s="260">
        <f>AZ25+BA25</f>
        <v>1074.6987052242177</v>
      </c>
      <c r="BC25" s="259">
        <f>AZ25*(1+$AX26)</f>
        <v>590.61091007885773</v>
      </c>
      <c r="BD25" s="259">
        <f>BA25*(1+$AY26)</f>
        <v>584.51396538427286</v>
      </c>
      <c r="BE25" s="260">
        <f>BC25+BD25</f>
        <v>1175.1248754631306</v>
      </c>
      <c r="BF25" s="259">
        <f>BC25*(1+$AX26)</f>
        <v>668.50049801807313</v>
      </c>
      <c r="BG25" s="259">
        <f>BD25*(1+$AY26)</f>
        <v>617.93314884532697</v>
      </c>
      <c r="BH25" s="260">
        <f>BF25+BG25</f>
        <v>1286.4336468634001</v>
      </c>
      <c r="BI25" s="259">
        <f>BF25*(1+$AX26)</f>
        <v>756.66214122381029</v>
      </c>
      <c r="BJ25" s="259">
        <f>BG25*(1+$AY26)</f>
        <v>653.26305110754674</v>
      </c>
      <c r="BK25" s="260">
        <f>BI25+BJ25</f>
        <v>1409.925192331357</v>
      </c>
      <c r="BL25" s="259">
        <f>BI25*(1+$AX26)</f>
        <v>856.45051523345717</v>
      </c>
      <c r="BM25" s="259">
        <f>BJ25*(1+$AY26)</f>
        <v>690.61291620262375</v>
      </c>
      <c r="BN25" s="260">
        <f>BL25+BM25</f>
        <v>1547.0634314360809</v>
      </c>
    </row>
    <row r="26" spans="1:66" x14ac:dyDescent="0.35">
      <c r="A26" s="241" t="s">
        <v>28</v>
      </c>
      <c r="E26" s="53"/>
      <c r="F26" s="53"/>
      <c r="G26" s="242"/>
      <c r="H26" s="53">
        <f t="shared" ref="H26" si="373">IFERROR(H25/E25-1,0)</f>
        <v>0.33333333333333326</v>
      </c>
      <c r="I26" s="53">
        <f t="shared" ref="I26" si="374">IFERROR(I25/F25-1,0)</f>
        <v>0.28136882129277563</v>
      </c>
      <c r="J26" s="242">
        <f t="shared" ref="J26" si="375">IFERROR(J25/G25-1,0)</f>
        <v>0.29820051413881754</v>
      </c>
      <c r="K26" s="53">
        <f>IFERROR(K25/H25-1,0)</f>
        <v>0.21428571428571419</v>
      </c>
      <c r="L26" s="53">
        <f t="shared" ref="L26" si="376">IFERROR(L25/I25-1,0)</f>
        <v>2.3738872403560762E-2</v>
      </c>
      <c r="M26" s="242">
        <f t="shared" ref="M26" si="377">IFERROR(M25/J25-1,0)</f>
        <v>8.7128712871287206E-2</v>
      </c>
      <c r="N26" s="53">
        <f t="shared" ref="N26" si="378">IFERROR(N25/K25-1,0)</f>
        <v>0.12254901960784315</v>
      </c>
      <c r="O26" s="53">
        <f t="shared" ref="O26" si="379">IFERROR(O25/L25-1,0)</f>
        <v>0.1072463768115941</v>
      </c>
      <c r="P26" s="242">
        <f t="shared" ref="P26" si="380">IFERROR(P25/M25-1,0)</f>
        <v>0.1129326047358834</v>
      </c>
      <c r="Q26" s="53">
        <f t="shared" ref="Q26" si="381">IFERROR(Q25/N25-1,0)</f>
        <v>9.606986899563319E-2</v>
      </c>
      <c r="R26" s="53">
        <f t="shared" ref="R26" si="382">IFERROR(R25/O25-1,0)</f>
        <v>2.3560209424083878E-2</v>
      </c>
      <c r="S26" s="242">
        <f t="shared" ref="S26" si="383">IFERROR(S25/P25-1,0)</f>
        <v>5.0736497545008197E-2</v>
      </c>
      <c r="T26" s="53">
        <f t="shared" ref="T26" si="384">IFERROR(T25/Q25-1,0)</f>
        <v>0.14741035856573714</v>
      </c>
      <c r="U26" s="53">
        <f t="shared" ref="U26" si="385">IFERROR(U25/R25-1,0)</f>
        <v>3.0690537084399061E-2</v>
      </c>
      <c r="V26" s="242">
        <f t="shared" ref="V26" si="386">IFERROR(V25/S25-1,0)</f>
        <v>7.6323987538940763E-2</v>
      </c>
      <c r="W26" s="53">
        <f t="shared" ref="W26" si="387">IFERROR(W25/T25-1,0)</f>
        <v>9.7222222222222321E-2</v>
      </c>
      <c r="X26" s="53">
        <f t="shared" ref="X26" si="388">IFERROR(X25/U25-1,0)</f>
        <v>6.2034739454094323E-2</v>
      </c>
      <c r="Y26" s="242">
        <f t="shared" ref="Y26" si="389">IFERROR(Y25/V25-1,0)</f>
        <v>7.6700434153400776E-2</v>
      </c>
      <c r="Z26" s="53">
        <f t="shared" ref="Z26" si="390">IFERROR(Z25/W25-1,0)</f>
        <v>8.2278481012658222E-2</v>
      </c>
      <c r="AA26" s="53">
        <f t="shared" ref="AA26" si="391">IFERROR(AA25/X25-1,0)</f>
        <v>9.5794392523364413E-2</v>
      </c>
      <c r="AB26" s="242">
        <f t="shared" ref="AB26" si="392">IFERROR(AB25/Y25-1,0)</f>
        <v>9.0053763440860246E-2</v>
      </c>
      <c r="AC26" s="53">
        <f t="shared" ref="AC26" si="393">IFERROR(AC25/Z25-1,0)</f>
        <v>1.4619883040935644E-2</v>
      </c>
      <c r="AD26" s="53">
        <f t="shared" ref="AD26" si="394">IFERROR(AD25/AA25-1,0)</f>
        <v>0.12153518123667384</v>
      </c>
      <c r="AE26" s="242">
        <f t="shared" ref="AE26" si="395">IFERROR(AE25/AB25-1,0)</f>
        <v>7.644882860665847E-2</v>
      </c>
      <c r="AF26" s="53">
        <f t="shared" ref="AF26" si="396">IFERROR(AF25/AC25-1,0)</f>
        <v>0.14121037463976949</v>
      </c>
      <c r="AG26" s="53">
        <f t="shared" ref="AG26" si="397">IFERROR(AG25/AD25-1,0)</f>
        <v>-5.5133079847908717E-2</v>
      </c>
      <c r="AH26" s="242">
        <f t="shared" ref="AH26" si="398">IFERROR(AH25/AE25-1,0)</f>
        <v>2.2909507445589838E-2</v>
      </c>
      <c r="AI26" s="53">
        <f>IFERROR(AI25/AF25-1,0)</f>
        <v>-0.71969696969696972</v>
      </c>
      <c r="AJ26" s="53">
        <f t="shared" ref="AJ26:AK26" si="399">IFERROR(AJ25/AG25-1,0)</f>
        <v>-0.75452716297786715</v>
      </c>
      <c r="AK26" s="242">
        <f t="shared" si="399"/>
        <v>-0.73908174692049267</v>
      </c>
      <c r="AL26" s="53">
        <f t="shared" ref="AL26" si="400">IFERROR(AL25/AI25-1,0)</f>
        <v>6.3063063063063085E-2</v>
      </c>
      <c r="AM26" s="53">
        <f t="shared" ref="AM26:AN26" si="401">IFERROR(AM25/AJ25-1,0)</f>
        <v>6.5573770491803351E-2</v>
      </c>
      <c r="AN26" s="242">
        <f t="shared" si="401"/>
        <v>6.4377682403433445E-2</v>
      </c>
      <c r="AO26" s="53">
        <f t="shared" ref="AO26" si="402">IFERROR(AO25/AL25-1,0)</f>
        <v>-1.6949152542372836E-2</v>
      </c>
      <c r="AP26" s="53">
        <f t="shared" ref="AP26" si="403">IFERROR(AP25/AM25-1,0)</f>
        <v>4.6153846153846212E-2</v>
      </c>
      <c r="AQ26" s="242">
        <f t="shared" ref="AQ26:AT26" si="404">IFERROR(AQ25/AN25-1,0)</f>
        <v>1.6129032258064502E-2</v>
      </c>
      <c r="AR26" s="53">
        <f t="shared" ref="AR26" si="405">IFERROR(AR25/AO25-1,0)</f>
        <v>0</v>
      </c>
      <c r="AS26" s="53">
        <f t="shared" si="404"/>
        <v>-7.3529411764705621E-3</v>
      </c>
      <c r="AT26" s="242">
        <f t="shared" si="404"/>
        <v>-3.9682539682539542E-3</v>
      </c>
      <c r="AU26" s="283">
        <f>IFERROR(AU25/AF25-1,0)</f>
        <v>0.16414141414141414</v>
      </c>
      <c r="AV26" s="283">
        <f t="shared" ref="AV26" si="406">IFERROR(AV25/AG25-1,0)</f>
        <v>5.2313883299798691E-2</v>
      </c>
      <c r="AW26" s="242">
        <f>IFERROR(AW25/AH25-1,0)</f>
        <v>0.10190369540873467</v>
      </c>
      <c r="AX26" s="210">
        <f xml:space="preserve"> MEDIAN(Q26,T26,W26,Z26,AC26,AF26,AU26,N26,K26,H26)</f>
        <v>0.13187969712380632</v>
      </c>
      <c r="AY26" s="210">
        <f>MEDIAN(R26,U26,X26,AA26,AD26,AG26,AV26,O26,L26,I26)</f>
        <v>5.7174311376946507E-2</v>
      </c>
      <c r="AZ26" s="236"/>
      <c r="BA26" s="236"/>
      <c r="BB26" s="240"/>
      <c r="BC26" s="236"/>
      <c r="BD26" s="236"/>
      <c r="BE26" s="240"/>
      <c r="BF26" s="236"/>
      <c r="BG26" s="236"/>
      <c r="BH26" s="240"/>
      <c r="BI26" s="236"/>
      <c r="BJ26" s="236"/>
      <c r="BK26" s="240"/>
      <c r="BL26" s="236"/>
      <c r="BM26" s="236"/>
      <c r="BN26" s="240"/>
    </row>
    <row r="27" spans="1:66" x14ac:dyDescent="0.35">
      <c r="A27" s="244" t="s">
        <v>29</v>
      </c>
      <c r="E27" s="236"/>
      <c r="F27" s="236"/>
      <c r="G27" s="240"/>
      <c r="H27" s="247">
        <f>H26</f>
        <v>0.33333333333333326</v>
      </c>
      <c r="I27" s="247">
        <f t="shared" ref="I27" si="407">I26</f>
        <v>0.28136882129277563</v>
      </c>
      <c r="J27" s="248">
        <f t="shared" ref="J27" si="408">J26</f>
        <v>0.29820051413881754</v>
      </c>
      <c r="K27" s="247">
        <f t="shared" ref="K27" si="409">K26</f>
        <v>0.21428571428571419</v>
      </c>
      <c r="L27" s="247">
        <f t="shared" ref="L27" si="410">L26</f>
        <v>2.3738872403560762E-2</v>
      </c>
      <c r="M27" s="248">
        <f t="shared" ref="M27" si="411">M26</f>
        <v>8.7128712871287206E-2</v>
      </c>
      <c r="N27" s="247">
        <f t="shared" ref="N27" si="412">N26</f>
        <v>0.12254901960784315</v>
      </c>
      <c r="O27" s="247">
        <f t="shared" ref="O27" si="413">O26</f>
        <v>0.1072463768115941</v>
      </c>
      <c r="P27" s="248">
        <f t="shared" ref="P27" si="414">P26</f>
        <v>0.1129326047358834</v>
      </c>
      <c r="Q27" s="247">
        <f t="shared" ref="Q27" si="415">Q26</f>
        <v>9.606986899563319E-2</v>
      </c>
      <c r="R27" s="247">
        <f t="shared" ref="R27" si="416">R26</f>
        <v>2.3560209424083878E-2</v>
      </c>
      <c r="S27" s="248">
        <f t="shared" ref="S27" si="417">S26</f>
        <v>5.0736497545008197E-2</v>
      </c>
      <c r="T27" s="247">
        <f t="shared" ref="T27" si="418">T26</f>
        <v>0.14741035856573714</v>
      </c>
      <c r="U27" s="247">
        <f t="shared" ref="U27" si="419">U26</f>
        <v>3.0690537084399061E-2</v>
      </c>
      <c r="V27" s="248">
        <f t="shared" ref="V27" si="420">V26</f>
        <v>7.6323987538940763E-2</v>
      </c>
      <c r="W27" s="247">
        <f t="shared" ref="W27" si="421">W26</f>
        <v>9.7222222222222321E-2</v>
      </c>
      <c r="X27" s="247">
        <f t="shared" ref="X27" si="422">X26</f>
        <v>6.2034739454094323E-2</v>
      </c>
      <c r="Y27" s="248">
        <f t="shared" ref="Y27" si="423">Y26</f>
        <v>7.6700434153400776E-2</v>
      </c>
      <c r="Z27" s="247">
        <f t="shared" ref="Z27" si="424">Z26</f>
        <v>8.2278481012658222E-2</v>
      </c>
      <c r="AA27" s="247">
        <f t="shared" ref="AA27" si="425">AA26</f>
        <v>9.5794392523364413E-2</v>
      </c>
      <c r="AB27" s="248">
        <f t="shared" ref="AB27" si="426">AB26</f>
        <v>9.0053763440860246E-2</v>
      </c>
      <c r="AC27" s="247">
        <f t="shared" ref="AC27" si="427">AC26</f>
        <v>1.4619883040935644E-2</v>
      </c>
      <c r="AD27" s="247">
        <f t="shared" ref="AD27" si="428">AD26</f>
        <v>0.12153518123667384</v>
      </c>
      <c r="AE27" s="248">
        <f t="shared" ref="AE27" si="429">AE26</f>
        <v>7.644882860665847E-2</v>
      </c>
      <c r="AF27" s="247">
        <f t="shared" ref="AF27" si="430">AF26</f>
        <v>0.14121037463976949</v>
      </c>
      <c r="AG27" s="247">
        <f t="shared" ref="AG27" si="431">AG26</f>
        <v>-5.5133079847908717E-2</v>
      </c>
      <c r="AH27" s="248">
        <f t="shared" ref="AH27" si="432">AH26</f>
        <v>2.2909507445589838E-2</v>
      </c>
      <c r="AI27" s="249">
        <f>AI26</f>
        <v>-0.71969696969696972</v>
      </c>
      <c r="AJ27" s="249">
        <f t="shared" ref="AJ27" si="433">AJ26</f>
        <v>-0.75452716297786715</v>
      </c>
      <c r="AK27" s="249">
        <f t="shared" ref="AK27" si="434">AK26</f>
        <v>-0.73908174692049267</v>
      </c>
      <c r="AL27" s="249">
        <f t="shared" ref="AL27" si="435">AL26</f>
        <v>6.3063063063063085E-2</v>
      </c>
      <c r="AM27" s="249">
        <f t="shared" ref="AM27" si="436">AM26</f>
        <v>6.5573770491803351E-2</v>
      </c>
      <c r="AN27" s="249">
        <f t="shared" ref="AN27" si="437">AN26</f>
        <v>6.4377682403433445E-2</v>
      </c>
      <c r="AO27" s="249">
        <f t="shared" ref="AO27" si="438">AO26</f>
        <v>-1.6949152542372836E-2</v>
      </c>
      <c r="AP27" s="249">
        <f t="shared" ref="AP27" si="439">AP26</f>
        <v>4.6153846153846212E-2</v>
      </c>
      <c r="AQ27" s="249">
        <f t="shared" ref="AQ27" si="440">AQ26</f>
        <v>1.6129032258064502E-2</v>
      </c>
      <c r="AR27" s="249">
        <f t="shared" ref="AR27" si="441">AR26</f>
        <v>0</v>
      </c>
      <c r="AS27" s="249">
        <f t="shared" ref="AS27" si="442">AS26</f>
        <v>-7.3529411764705621E-3</v>
      </c>
      <c r="AT27" s="249">
        <f t="shared" ref="AT27" si="443">AT26</f>
        <v>-3.9682539682539542E-3</v>
      </c>
      <c r="AU27" s="250">
        <f>AU26</f>
        <v>0.16414141414141414</v>
      </c>
      <c r="AV27" s="250">
        <f t="shared" ref="AV27" si="444">AV26</f>
        <v>5.2313883299798691E-2</v>
      </c>
      <c r="AW27" s="248">
        <f t="shared" ref="AW27" si="445">AW26</f>
        <v>0.10190369540873467</v>
      </c>
      <c r="AX27" s="278"/>
      <c r="AY27" s="278"/>
      <c r="AZ27" s="236"/>
      <c r="BA27" s="236"/>
      <c r="BB27" s="240"/>
      <c r="BC27" s="236"/>
      <c r="BD27" s="236"/>
      <c r="BE27" s="240"/>
      <c r="BF27" s="236"/>
      <c r="BG27" s="236"/>
      <c r="BH27" s="240"/>
      <c r="BI27" s="236"/>
      <c r="BJ27" s="236"/>
      <c r="BK27" s="240"/>
      <c r="BL27" s="236"/>
      <c r="BM27" s="236"/>
      <c r="BN27" s="240"/>
    </row>
    <row r="28" spans="1:66" x14ac:dyDescent="0.35">
      <c r="A28" s="69" t="s">
        <v>5</v>
      </c>
      <c r="B28" s="2"/>
      <c r="C28" s="2"/>
      <c r="D28" s="2"/>
      <c r="E28" s="259">
        <v>241</v>
      </c>
      <c r="F28" s="259">
        <v>186</v>
      </c>
      <c r="G28" s="260">
        <f>E28+F28</f>
        <v>427</v>
      </c>
      <c r="H28" s="259">
        <v>260</v>
      </c>
      <c r="I28" s="259">
        <v>209</v>
      </c>
      <c r="J28" s="260">
        <f>H28+I28</f>
        <v>469</v>
      </c>
      <c r="K28" s="259">
        <v>317</v>
      </c>
      <c r="L28" s="259">
        <v>208</v>
      </c>
      <c r="M28" s="260">
        <f>K28+L28</f>
        <v>525</v>
      </c>
      <c r="N28" s="259">
        <v>350</v>
      </c>
      <c r="O28" s="259">
        <v>234</v>
      </c>
      <c r="P28" s="260">
        <f>N28+O28</f>
        <v>584</v>
      </c>
      <c r="Q28" s="259">
        <v>392</v>
      </c>
      <c r="R28" s="259">
        <v>250</v>
      </c>
      <c r="S28" s="260">
        <f>Q28+R28</f>
        <v>642</v>
      </c>
      <c r="T28" s="259">
        <v>438</v>
      </c>
      <c r="U28" s="259">
        <v>279</v>
      </c>
      <c r="V28" s="260">
        <f>T28+U28</f>
        <v>717</v>
      </c>
      <c r="W28" s="259">
        <v>480</v>
      </c>
      <c r="X28" s="259">
        <v>315</v>
      </c>
      <c r="Y28" s="260">
        <f>W28+X28</f>
        <v>795</v>
      </c>
      <c r="Z28" s="259">
        <v>485</v>
      </c>
      <c r="AA28" s="259">
        <v>365</v>
      </c>
      <c r="AB28" s="260">
        <f>Z28+AA28</f>
        <v>850</v>
      </c>
      <c r="AC28" s="259">
        <v>566</v>
      </c>
      <c r="AD28" s="259">
        <v>461</v>
      </c>
      <c r="AE28" s="260">
        <f>AC28+AD28</f>
        <v>1027</v>
      </c>
      <c r="AF28" s="259">
        <v>848</v>
      </c>
      <c r="AG28" s="259">
        <v>459</v>
      </c>
      <c r="AH28" s="260">
        <f>AF28+AG28</f>
        <v>1307</v>
      </c>
      <c r="AI28" s="6">
        <v>246</v>
      </c>
      <c r="AJ28" s="6">
        <v>116</v>
      </c>
      <c r="AK28" s="5">
        <f>AJ28+AI28</f>
        <v>362</v>
      </c>
      <c r="AL28" s="6">
        <v>176</v>
      </c>
      <c r="AM28" s="6">
        <v>134</v>
      </c>
      <c r="AN28" s="5">
        <f>AM28+AL28</f>
        <v>310</v>
      </c>
      <c r="AO28" s="6">
        <v>322</v>
      </c>
      <c r="AP28" s="6">
        <v>97</v>
      </c>
      <c r="AQ28" s="5">
        <f>AP28+AO28</f>
        <v>419</v>
      </c>
      <c r="AR28" s="6">
        <v>252</v>
      </c>
      <c r="AS28" s="6">
        <v>134</v>
      </c>
      <c r="AT28" s="5">
        <f>AS28+AR28</f>
        <v>386</v>
      </c>
      <c r="AU28" s="259">
        <f>AI28+AL28+AO28+AR28</f>
        <v>996</v>
      </c>
      <c r="AV28" s="259">
        <f>AJ28+AM28+AP28+AS28</f>
        <v>481</v>
      </c>
      <c r="AW28" s="260">
        <f>AU28+AV28</f>
        <v>1477</v>
      </c>
      <c r="AX28" s="277"/>
      <c r="AY28" s="277"/>
      <c r="AZ28" s="259">
        <f>AU28*(1+AX29)</f>
        <v>1153.9253350058832</v>
      </c>
      <c r="BA28" s="259">
        <f>AV28*(1+AY29)</f>
        <v>538.63724731182799</v>
      </c>
      <c r="BB28" s="260">
        <f>AZ28+BA28</f>
        <v>1692.5625823177111</v>
      </c>
      <c r="BC28" s="259">
        <f>AZ28*(1+0.08)</f>
        <v>1246.2393618063538</v>
      </c>
      <c r="BD28" s="259">
        <f>BA28*(1+$AY29)</f>
        <v>603.18104821551628</v>
      </c>
      <c r="BE28" s="260">
        <f>BC28+BD28</f>
        <v>1849.4204100218701</v>
      </c>
      <c r="BF28" s="259">
        <f>BC28*(1+0.08)</f>
        <v>1345.9385107508622</v>
      </c>
      <c r="BG28" s="259">
        <f>BD28*(1+$AY29)</f>
        <v>675.45900091781425</v>
      </c>
      <c r="BH28" s="260">
        <f>BF28+BG28</f>
        <v>2021.3975116686765</v>
      </c>
      <c r="BI28" s="259">
        <f>BF28*(1+0.08)</f>
        <v>1453.6135916109313</v>
      </c>
      <c r="BJ28" s="259">
        <f>BG28*(1+$AY29)</f>
        <v>756.39787302779405</v>
      </c>
      <c r="BK28" s="260">
        <f>BI28+BJ28</f>
        <v>2210.0114646387256</v>
      </c>
      <c r="BL28" s="259">
        <f>BI28*(1+0.08)</f>
        <v>1569.9026789398058</v>
      </c>
      <c r="BM28" s="259">
        <f>BJ28*(1+$AY29)</f>
        <v>847.03548482372673</v>
      </c>
      <c r="BN28" s="260">
        <f>BL28+BM28</f>
        <v>2416.9381637635324</v>
      </c>
    </row>
    <row r="29" spans="1:66" x14ac:dyDescent="0.35">
      <c r="A29" s="241" t="s">
        <v>28</v>
      </c>
      <c r="E29" s="53"/>
      <c r="F29" s="53"/>
      <c r="G29" s="242"/>
      <c r="H29" s="53">
        <f t="shared" ref="H29" si="446">IFERROR(H28/E28-1,0)</f>
        <v>7.8838174273858863E-2</v>
      </c>
      <c r="I29" s="53">
        <f t="shared" ref="I29" si="447">IFERROR(I28/F28-1,0)</f>
        <v>0.12365591397849451</v>
      </c>
      <c r="J29" s="242">
        <f t="shared" ref="J29" si="448">IFERROR(J28/G28-1,0)</f>
        <v>9.8360655737705027E-2</v>
      </c>
      <c r="K29" s="53">
        <f>IFERROR(K28/H28-1,0)</f>
        <v>0.21923076923076934</v>
      </c>
      <c r="L29" s="53">
        <f t="shared" ref="L29" si="449">IFERROR(L28/I28-1,0)</f>
        <v>-4.784688995215336E-3</v>
      </c>
      <c r="M29" s="242">
        <f t="shared" ref="M29" si="450">IFERROR(M28/J28-1,0)</f>
        <v>0.11940298507462677</v>
      </c>
      <c r="N29" s="53">
        <f t="shared" ref="N29" si="451">IFERROR(N28/K28-1,0)</f>
        <v>0.10410094637223977</v>
      </c>
      <c r="O29" s="53">
        <f t="shared" ref="O29" si="452">IFERROR(O28/L28-1,0)</f>
        <v>0.125</v>
      </c>
      <c r="P29" s="242">
        <f t="shared" ref="P29" si="453">IFERROR(P28/M28-1,0)</f>
        <v>0.11238095238095247</v>
      </c>
      <c r="Q29" s="53">
        <f t="shared" ref="Q29" si="454">IFERROR(Q28/N28-1,0)</f>
        <v>0.12000000000000011</v>
      </c>
      <c r="R29" s="53">
        <f t="shared" ref="R29" si="455">IFERROR(R28/O28-1,0)</f>
        <v>6.8376068376068355E-2</v>
      </c>
      <c r="S29" s="242">
        <f t="shared" ref="S29" si="456">IFERROR(S28/P28-1,0)</f>
        <v>9.9315068493150749E-2</v>
      </c>
      <c r="T29" s="53">
        <f t="shared" ref="T29" si="457">IFERROR(T28/Q28-1,0)</f>
        <v>0.11734693877551017</v>
      </c>
      <c r="U29" s="53">
        <f t="shared" ref="U29" si="458">IFERROR(U28/R28-1,0)</f>
        <v>0.1160000000000001</v>
      </c>
      <c r="V29" s="242">
        <f t="shared" ref="V29" si="459">IFERROR(V28/S28-1,0)</f>
        <v>0.11682242990654212</v>
      </c>
      <c r="W29" s="53">
        <f t="shared" ref="W29" si="460">IFERROR(W28/T28-1,0)</f>
        <v>9.5890410958904049E-2</v>
      </c>
      <c r="X29" s="53">
        <f t="shared" ref="X29" si="461">IFERROR(X28/U28-1,0)</f>
        <v>0.12903225806451624</v>
      </c>
      <c r="Y29" s="242">
        <f t="shared" ref="Y29" si="462">IFERROR(Y28/V28-1,0)</f>
        <v>0.10878661087866104</v>
      </c>
      <c r="Z29" s="53">
        <f t="shared" ref="Z29" si="463">IFERROR(Z28/W28-1,0)</f>
        <v>1.0416666666666741E-2</v>
      </c>
      <c r="AA29" s="53">
        <f t="shared" ref="AA29" si="464">IFERROR(AA28/X28-1,0)</f>
        <v>0.15873015873015883</v>
      </c>
      <c r="AB29" s="242">
        <f t="shared" ref="AB29" si="465">IFERROR(AB28/Y28-1,0)</f>
        <v>6.9182389937106903E-2</v>
      </c>
      <c r="AC29" s="53">
        <f t="shared" ref="AC29" si="466">IFERROR(AC28/Z28-1,0)</f>
        <v>0.16701030927835059</v>
      </c>
      <c r="AD29" s="53">
        <f t="shared" ref="AD29" si="467">IFERROR(AD28/AA28-1,0)</f>
        <v>0.26301369863013702</v>
      </c>
      <c r="AE29" s="242">
        <f t="shared" ref="AE29" si="468">IFERROR(AE28/AB28-1,0)</f>
        <v>0.20823529411764707</v>
      </c>
      <c r="AF29" s="53">
        <f t="shared" ref="AF29" si="469">IFERROR(AF28/AC28-1,0)</f>
        <v>0.49823321554770317</v>
      </c>
      <c r="AG29" s="53">
        <f t="shared" ref="AG29" si="470">IFERROR(AG28/AD28-1,0)</f>
        <v>-4.3383947939262812E-3</v>
      </c>
      <c r="AH29" s="242">
        <f t="shared" ref="AH29" si="471">IFERROR(AH28/AE28-1,0)</f>
        <v>0.27263875365141188</v>
      </c>
      <c r="AI29" s="53">
        <f>IFERROR(AI28/AF28-1,0)</f>
        <v>-0.70990566037735847</v>
      </c>
      <c r="AJ29" s="53">
        <f t="shared" ref="AJ29:AK29" si="472">IFERROR(AJ28/AG28-1,0)</f>
        <v>-0.74727668845315898</v>
      </c>
      <c r="AK29" s="242">
        <f t="shared" si="472"/>
        <v>-0.72302983932670239</v>
      </c>
      <c r="AL29" s="53">
        <f t="shared" ref="AL29" si="473">IFERROR(AL28/AI28-1,0)</f>
        <v>-0.28455284552845528</v>
      </c>
      <c r="AM29" s="53">
        <f t="shared" ref="AM29:AN29" si="474">IFERROR(AM28/AJ28-1,0)</f>
        <v>0.15517241379310343</v>
      </c>
      <c r="AN29" s="242">
        <f t="shared" si="474"/>
        <v>-0.14364640883977897</v>
      </c>
      <c r="AO29" s="53">
        <f t="shared" ref="AO29" si="475">IFERROR(AO28/AL28-1,0)</f>
        <v>0.82954545454545459</v>
      </c>
      <c r="AP29" s="53">
        <f t="shared" ref="AP29" si="476">IFERROR(AP28/AM28-1,0)</f>
        <v>-0.27611940298507465</v>
      </c>
      <c r="AQ29" s="242">
        <f t="shared" ref="AQ29:AT29" si="477">IFERROR(AQ28/AN28-1,0)</f>
        <v>0.35161290322580641</v>
      </c>
      <c r="AR29" s="53">
        <f t="shared" ref="AR29" si="478">IFERROR(AR28/AO28-1,0)</f>
        <v>-0.21739130434782605</v>
      </c>
      <c r="AS29" s="53">
        <f t="shared" si="477"/>
        <v>0.38144329896907214</v>
      </c>
      <c r="AT29" s="242">
        <f t="shared" si="477"/>
        <v>-7.8758949880668228E-2</v>
      </c>
      <c r="AU29" s="283">
        <f>IFERROR(AU28/AF28-1,0)</f>
        <v>0.17452830188679247</v>
      </c>
      <c r="AV29" s="283">
        <f t="shared" ref="AV29" si="479">IFERROR(AV28/AG28-1,0)</f>
        <v>4.7930283224400849E-2</v>
      </c>
      <c r="AW29" s="242">
        <f>IFERROR(AW28/AH28-1,0)</f>
        <v>0.13006885998469775</v>
      </c>
      <c r="AX29" s="210">
        <f>AVERAGE(Q29,T29,W29,Z29,AC29,AF29,AU29,N29,K29,H29)</f>
        <v>0.15855957329907952</v>
      </c>
      <c r="AY29" s="210">
        <f>MEDIAN(R29,U29,X29,AA29,AD29,AG29,AV29,O29,L29,I29)</f>
        <v>0.11982795698924731</v>
      </c>
      <c r="AZ29" s="236"/>
      <c r="BA29" s="236"/>
      <c r="BB29" s="240"/>
      <c r="BC29" s="236"/>
      <c r="BD29" s="236"/>
      <c r="BE29" s="240"/>
      <c r="BF29" s="236"/>
      <c r="BG29" s="236"/>
      <c r="BH29" s="240"/>
      <c r="BI29" s="236"/>
      <c r="BJ29" s="236"/>
      <c r="BK29" s="240"/>
      <c r="BL29" s="236"/>
      <c r="BM29" s="236"/>
      <c r="BN29" s="240"/>
    </row>
    <row r="30" spans="1:66" x14ac:dyDescent="0.35">
      <c r="A30" s="244" t="s">
        <v>29</v>
      </c>
      <c r="E30" s="236"/>
      <c r="F30" s="236"/>
      <c r="G30" s="240"/>
      <c r="H30" s="247">
        <f>H29</f>
        <v>7.8838174273858863E-2</v>
      </c>
      <c r="I30" s="247">
        <f t="shared" ref="I30" si="480">I29</f>
        <v>0.12365591397849451</v>
      </c>
      <c r="J30" s="248">
        <f t="shared" ref="J30" si="481">J29</f>
        <v>9.8360655737705027E-2</v>
      </c>
      <c r="K30" s="247">
        <f t="shared" ref="K30" si="482">K29</f>
        <v>0.21923076923076934</v>
      </c>
      <c r="L30" s="247">
        <f t="shared" ref="L30" si="483">L29</f>
        <v>-4.784688995215336E-3</v>
      </c>
      <c r="M30" s="248">
        <f t="shared" ref="M30" si="484">M29</f>
        <v>0.11940298507462677</v>
      </c>
      <c r="N30" s="247">
        <f t="shared" ref="N30" si="485">N29</f>
        <v>0.10410094637223977</v>
      </c>
      <c r="O30" s="247">
        <f t="shared" ref="O30" si="486">O29</f>
        <v>0.125</v>
      </c>
      <c r="P30" s="248">
        <f t="shared" ref="P30" si="487">P29</f>
        <v>0.11238095238095247</v>
      </c>
      <c r="Q30" s="247">
        <f t="shared" ref="Q30" si="488">Q29</f>
        <v>0.12000000000000011</v>
      </c>
      <c r="R30" s="247">
        <f t="shared" ref="R30" si="489">R29</f>
        <v>6.8376068376068355E-2</v>
      </c>
      <c r="S30" s="248">
        <f t="shared" ref="S30" si="490">S29</f>
        <v>9.9315068493150749E-2</v>
      </c>
      <c r="T30" s="247">
        <f t="shared" ref="T30" si="491">T29</f>
        <v>0.11734693877551017</v>
      </c>
      <c r="U30" s="247">
        <f t="shared" ref="U30" si="492">U29</f>
        <v>0.1160000000000001</v>
      </c>
      <c r="V30" s="248">
        <f t="shared" ref="V30" si="493">V29</f>
        <v>0.11682242990654212</v>
      </c>
      <c r="W30" s="247">
        <f t="shared" ref="W30" si="494">W29</f>
        <v>9.5890410958904049E-2</v>
      </c>
      <c r="X30" s="247">
        <f t="shared" ref="X30" si="495">X29</f>
        <v>0.12903225806451624</v>
      </c>
      <c r="Y30" s="248">
        <f t="shared" ref="Y30" si="496">Y29</f>
        <v>0.10878661087866104</v>
      </c>
      <c r="Z30" s="247">
        <f t="shared" ref="Z30" si="497">Z29</f>
        <v>1.0416666666666741E-2</v>
      </c>
      <c r="AA30" s="247">
        <f t="shared" ref="AA30" si="498">AA29</f>
        <v>0.15873015873015883</v>
      </c>
      <c r="AB30" s="248">
        <f t="shared" ref="AB30" si="499">AB29</f>
        <v>6.9182389937106903E-2</v>
      </c>
      <c r="AC30" s="247">
        <f t="shared" ref="AC30" si="500">AC29</f>
        <v>0.16701030927835059</v>
      </c>
      <c r="AD30" s="247">
        <f t="shared" ref="AD30" si="501">AD29</f>
        <v>0.26301369863013702</v>
      </c>
      <c r="AE30" s="248">
        <f t="shared" ref="AE30" si="502">AE29</f>
        <v>0.20823529411764707</v>
      </c>
      <c r="AF30" s="247">
        <f t="shared" ref="AF30" si="503">AF29</f>
        <v>0.49823321554770317</v>
      </c>
      <c r="AG30" s="247">
        <f t="shared" ref="AG30" si="504">AG29</f>
        <v>-4.3383947939262812E-3</v>
      </c>
      <c r="AH30" s="248">
        <f t="shared" ref="AH30" si="505">AH29</f>
        <v>0.27263875365141188</v>
      </c>
      <c r="AI30" s="249">
        <f>AI29</f>
        <v>-0.70990566037735847</v>
      </c>
      <c r="AJ30" s="249">
        <f t="shared" ref="AJ30" si="506">AJ29</f>
        <v>-0.74727668845315898</v>
      </c>
      <c r="AK30" s="249">
        <f t="shared" ref="AK30" si="507">AK29</f>
        <v>-0.72302983932670239</v>
      </c>
      <c r="AL30" s="249">
        <f t="shared" ref="AL30" si="508">AL29</f>
        <v>-0.28455284552845528</v>
      </c>
      <c r="AM30" s="249">
        <f t="shared" ref="AM30" si="509">AM29</f>
        <v>0.15517241379310343</v>
      </c>
      <c r="AN30" s="249">
        <f t="shared" ref="AN30" si="510">AN29</f>
        <v>-0.14364640883977897</v>
      </c>
      <c r="AO30" s="249">
        <f t="shared" ref="AO30" si="511">AO29</f>
        <v>0.82954545454545459</v>
      </c>
      <c r="AP30" s="249">
        <f t="shared" ref="AP30" si="512">AP29</f>
        <v>-0.27611940298507465</v>
      </c>
      <c r="AQ30" s="249">
        <f t="shared" ref="AQ30" si="513">AQ29</f>
        <v>0.35161290322580641</v>
      </c>
      <c r="AR30" s="249">
        <f t="shared" ref="AR30" si="514">AR29</f>
        <v>-0.21739130434782605</v>
      </c>
      <c r="AS30" s="249">
        <f t="shared" ref="AS30" si="515">AS29</f>
        <v>0.38144329896907214</v>
      </c>
      <c r="AT30" s="249">
        <f t="shared" ref="AT30" si="516">AT29</f>
        <v>-7.8758949880668228E-2</v>
      </c>
      <c r="AU30" s="250">
        <f>AU29</f>
        <v>0.17452830188679247</v>
      </c>
      <c r="AV30" s="250">
        <f t="shared" ref="AV30" si="517">AV29</f>
        <v>4.7930283224400849E-2</v>
      </c>
      <c r="AW30" s="248">
        <f t="shared" ref="AW30" si="518">AW29</f>
        <v>0.13006885998469775</v>
      </c>
      <c r="AX30" s="278"/>
      <c r="AY30" s="278"/>
      <c r="AZ30" s="236"/>
      <c r="BA30" s="236"/>
      <c r="BB30" s="240"/>
      <c r="BC30" s="236"/>
      <c r="BD30" s="236"/>
      <c r="BE30" s="240"/>
      <c r="BF30" s="236"/>
      <c r="BG30" s="236"/>
      <c r="BH30" s="240"/>
      <c r="BI30" s="236"/>
      <c r="BJ30" s="236"/>
      <c r="BK30" s="240"/>
      <c r="BL30" s="236"/>
      <c r="BM30" s="236"/>
      <c r="BN30" s="240"/>
    </row>
    <row r="31" spans="1:66" x14ac:dyDescent="0.35">
      <c r="A31" s="69" t="s">
        <v>3</v>
      </c>
      <c r="B31" s="2"/>
      <c r="C31" s="2"/>
      <c r="D31" s="2"/>
      <c r="E31" s="259">
        <v>764</v>
      </c>
      <c r="F31" s="259">
        <v>255</v>
      </c>
      <c r="G31" s="260">
        <f>E31+F31</f>
        <v>1019</v>
      </c>
      <c r="H31" s="259">
        <v>857</v>
      </c>
      <c r="I31" s="259">
        <v>364</v>
      </c>
      <c r="J31" s="260">
        <f>H31+I31</f>
        <v>1221</v>
      </c>
      <c r="K31" s="259">
        <v>1006</v>
      </c>
      <c r="L31" s="259">
        <v>399</v>
      </c>
      <c r="M31" s="260">
        <f>K31+L31</f>
        <v>1405</v>
      </c>
      <c r="N31" s="259">
        <v>1115</v>
      </c>
      <c r="O31" s="259">
        <v>414</v>
      </c>
      <c r="P31" s="260">
        <f>N31+O31</f>
        <v>1529</v>
      </c>
      <c r="Q31" s="259">
        <v>1157</v>
      </c>
      <c r="R31" s="259">
        <v>418</v>
      </c>
      <c r="S31" s="260">
        <f>Q31+R31</f>
        <v>1575</v>
      </c>
      <c r="T31" s="259">
        <v>1338</v>
      </c>
      <c r="U31" s="259">
        <v>448</v>
      </c>
      <c r="V31" s="260">
        <f>T31+U31</f>
        <v>1786</v>
      </c>
      <c r="W31" s="259">
        <v>1457</v>
      </c>
      <c r="X31" s="259">
        <v>478</v>
      </c>
      <c r="Y31" s="260">
        <f>W31+X31</f>
        <v>1935</v>
      </c>
      <c r="Z31" s="259">
        <v>1405</v>
      </c>
      <c r="AA31" s="259">
        <v>494</v>
      </c>
      <c r="AB31" s="260">
        <f>Z31+AA31</f>
        <v>1899</v>
      </c>
      <c r="AC31" s="259">
        <v>1434</v>
      </c>
      <c r="AD31" s="259">
        <v>584</v>
      </c>
      <c r="AE31" s="260">
        <f>AC31+AD31</f>
        <v>2018</v>
      </c>
      <c r="AF31" s="259">
        <v>1480</v>
      </c>
      <c r="AG31" s="259">
        <v>534</v>
      </c>
      <c r="AH31" s="260">
        <f>AF31+AG31</f>
        <v>2014</v>
      </c>
      <c r="AI31" s="6">
        <v>384</v>
      </c>
      <c r="AJ31" s="6">
        <v>152</v>
      </c>
      <c r="AK31" s="5">
        <f>AJ31+AI31</f>
        <v>536</v>
      </c>
      <c r="AL31" s="6">
        <v>387</v>
      </c>
      <c r="AM31" s="6">
        <v>143</v>
      </c>
      <c r="AN31" s="5">
        <f>AM31+AL31</f>
        <v>530</v>
      </c>
      <c r="AO31" s="6">
        <v>374</v>
      </c>
      <c r="AP31" s="6">
        <v>145</v>
      </c>
      <c r="AQ31" s="5">
        <f>AP31+AO31</f>
        <v>519</v>
      </c>
      <c r="AR31" s="6">
        <v>382</v>
      </c>
      <c r="AS31" s="6">
        <v>145</v>
      </c>
      <c r="AT31" s="5">
        <f>AS31+AR31</f>
        <v>527</v>
      </c>
      <c r="AU31" s="259">
        <f>AI31+AL31+AO31+AR31</f>
        <v>1527</v>
      </c>
      <c r="AV31" s="259">
        <f>AJ31+AM31+AP31+AS31</f>
        <v>585</v>
      </c>
      <c r="AW31" s="260">
        <f>AU31+AV31</f>
        <v>2112</v>
      </c>
      <c r="AX31" s="277"/>
      <c r="AY31" s="277"/>
      <c r="AZ31" s="259">
        <f>AU31*(1+AX32)</f>
        <v>1639.3523169082218</v>
      </c>
      <c r="BA31" s="259">
        <f>AV31*(1+AY32)</f>
        <v>625.57987653793577</v>
      </c>
      <c r="BB31" s="260">
        <f>AZ31+BA31</f>
        <v>2264.9321934461577</v>
      </c>
      <c r="BC31" s="259">
        <f>AZ31*(1.02)</f>
        <v>1672.1393632463862</v>
      </c>
      <c r="BD31" s="259">
        <f>BA31*(1+$AY32)</f>
        <v>668.9746699644769</v>
      </c>
      <c r="BE31" s="260">
        <f>BC31+BD31</f>
        <v>2341.114033210863</v>
      </c>
      <c r="BF31" s="259">
        <f>BC31*(1+0.05)</f>
        <v>1755.7463314087056</v>
      </c>
      <c r="BG31" s="259">
        <f>BD31*(1+$AY32)</f>
        <v>715.37964349296374</v>
      </c>
      <c r="BH31" s="260">
        <f>BF31+BG31</f>
        <v>2471.1259749016695</v>
      </c>
      <c r="BI31" s="259">
        <f>BF31*(1+0.05)</f>
        <v>1843.5336479791411</v>
      </c>
      <c r="BJ31" s="259">
        <f>BG31*(1+$AY32)</f>
        <v>765.00360522065091</v>
      </c>
      <c r="BK31" s="260">
        <f>BI31+BJ31</f>
        <v>2608.5372531997918</v>
      </c>
      <c r="BL31" s="259">
        <f>BI31*(1+0.04)</f>
        <v>1917.2749938983068</v>
      </c>
      <c r="BM31" s="259">
        <f>BJ31*(1+$AY32-0.1)</f>
        <v>741.56948717880766</v>
      </c>
      <c r="BN31" s="260">
        <f>BL31+BM31</f>
        <v>2658.8444810771143</v>
      </c>
    </row>
    <row r="32" spans="1:66" x14ac:dyDescent="0.35">
      <c r="A32" s="241" t="s">
        <v>28</v>
      </c>
      <c r="E32" s="53"/>
      <c r="F32" s="53"/>
      <c r="G32" s="242"/>
      <c r="H32" s="53">
        <f t="shared" ref="H32" si="519">IFERROR(H31/E31-1,0)</f>
        <v>0.12172774869109948</v>
      </c>
      <c r="I32" s="53">
        <f t="shared" ref="I32" si="520">IFERROR(I31/F31-1,0)</f>
        <v>0.4274509803921569</v>
      </c>
      <c r="J32" s="242">
        <f t="shared" ref="J32" si="521">IFERROR(J31/G31-1,0)</f>
        <v>0.19823356231599609</v>
      </c>
      <c r="K32" s="53">
        <f>IFERROR(K31/H31-1,0)</f>
        <v>0.17386231038506428</v>
      </c>
      <c r="L32" s="53">
        <f t="shared" ref="L32" si="522">IFERROR(L31/I31-1,0)</f>
        <v>9.6153846153846256E-2</v>
      </c>
      <c r="M32" s="242">
        <f t="shared" ref="M32" si="523">IFERROR(M31/J31-1,0)</f>
        <v>0.15069615069615061</v>
      </c>
      <c r="N32" s="53">
        <f t="shared" ref="N32" si="524">IFERROR(N31/K31-1,0)</f>
        <v>0.10834990059642147</v>
      </c>
      <c r="O32" s="53">
        <f t="shared" ref="O32" si="525">IFERROR(O31/L31-1,0)</f>
        <v>3.7593984962406068E-2</v>
      </c>
      <c r="P32" s="242">
        <f t="shared" ref="P32" si="526">IFERROR(P31/M31-1,0)</f>
        <v>8.8256227758007011E-2</v>
      </c>
      <c r="Q32" s="53">
        <f t="shared" ref="Q32" si="527">IFERROR(Q31/N31-1,0)</f>
        <v>3.7668161434977643E-2</v>
      </c>
      <c r="R32" s="53">
        <f t="shared" ref="R32" si="528">IFERROR(R31/O31-1,0)</f>
        <v>9.6618357487923134E-3</v>
      </c>
      <c r="S32" s="242">
        <f t="shared" ref="S32" si="529">IFERROR(S31/P31-1,0)</f>
        <v>3.0085022890778301E-2</v>
      </c>
      <c r="T32" s="53">
        <f t="shared" ref="T32" si="530">IFERROR(T31/Q31-1,0)</f>
        <v>0.15643906655142614</v>
      </c>
      <c r="U32" s="53">
        <f t="shared" ref="U32" si="531">IFERROR(U31/R31-1,0)</f>
        <v>7.1770334928229707E-2</v>
      </c>
      <c r="V32" s="242">
        <f t="shared" ref="V32" si="532">IFERROR(V31/S31-1,0)</f>
        <v>0.13396825396825407</v>
      </c>
      <c r="W32" s="53">
        <f t="shared" ref="W32" si="533">IFERROR(W31/T31-1,0)</f>
        <v>8.8938714499252614E-2</v>
      </c>
      <c r="X32" s="53">
        <f t="shared" ref="X32" si="534">IFERROR(X31/U31-1,0)</f>
        <v>6.6964285714285809E-2</v>
      </c>
      <c r="Y32" s="242">
        <f t="shared" ref="Y32" si="535">IFERROR(Y31/V31-1,0)</f>
        <v>8.3426651735722279E-2</v>
      </c>
      <c r="Z32" s="53">
        <f t="shared" ref="Z32" si="536">IFERROR(Z31/W31-1,0)</f>
        <v>-3.568977350720659E-2</v>
      </c>
      <c r="AA32" s="53">
        <f t="shared" ref="AA32" si="537">IFERROR(AA31/X31-1,0)</f>
        <v>3.3472803347280422E-2</v>
      </c>
      <c r="AB32" s="242">
        <f t="shared" ref="AB32" si="538">IFERROR(AB31/Y31-1,0)</f>
        <v>-1.8604651162790753E-2</v>
      </c>
      <c r="AC32" s="53">
        <f t="shared" ref="AC32" si="539">IFERROR(AC31/Z31-1,0)</f>
        <v>2.0640569395017794E-2</v>
      </c>
      <c r="AD32" s="53">
        <f t="shared" ref="AD32" si="540">IFERROR(AD31/AA31-1,0)</f>
        <v>0.18218623481781382</v>
      </c>
      <c r="AE32" s="242">
        <f t="shared" ref="AE32" si="541">IFERROR(AE31/AB31-1,0)</f>
        <v>6.2664560294892091E-2</v>
      </c>
      <c r="AF32" s="53">
        <f t="shared" ref="AF32" si="542">IFERROR(AF31/AC31-1,0)</f>
        <v>3.2078103207810349E-2</v>
      </c>
      <c r="AG32" s="53">
        <f t="shared" ref="AG32" si="543">IFERROR(AG31/AD31-1,0)</f>
        <v>-8.5616438356164393E-2</v>
      </c>
      <c r="AH32" s="242">
        <f t="shared" ref="AH32" si="544">IFERROR(AH31/AE31-1,0)</f>
        <v>-1.982160555004997E-3</v>
      </c>
      <c r="AI32" s="53">
        <f>IFERROR(AI31/AF31-1,0)</f>
        <v>-0.74054054054054053</v>
      </c>
      <c r="AJ32" s="53">
        <f t="shared" ref="AJ32:AK32" si="545">IFERROR(AJ31/AG31-1,0)</f>
        <v>-0.71535580524344566</v>
      </c>
      <c r="AK32" s="242">
        <f t="shared" si="545"/>
        <v>-0.733862959285005</v>
      </c>
      <c r="AL32" s="53">
        <f t="shared" ref="AL32" si="546">IFERROR(AL31/AI31-1,0)</f>
        <v>7.8125E-3</v>
      </c>
      <c r="AM32" s="53">
        <f t="shared" ref="AM32:AN32" si="547">IFERROR(AM31/AJ31-1,0)</f>
        <v>-5.9210526315789491E-2</v>
      </c>
      <c r="AN32" s="242">
        <f t="shared" si="547"/>
        <v>-1.1194029850746245E-2</v>
      </c>
      <c r="AO32" s="53">
        <f t="shared" ref="AO32" si="548">IFERROR(AO31/AL31-1,0)</f>
        <v>-3.3591731266149893E-2</v>
      </c>
      <c r="AP32" s="53">
        <f t="shared" ref="AP32" si="549">IFERROR(AP31/AM31-1,0)</f>
        <v>1.3986013986013957E-2</v>
      </c>
      <c r="AQ32" s="242">
        <f t="shared" ref="AQ32:AT32" si="550">IFERROR(AQ31/AN31-1,0)</f>
        <v>-2.0754716981132071E-2</v>
      </c>
      <c r="AR32" s="53">
        <f t="shared" ref="AR32" si="551">IFERROR(AR31/AO31-1,0)</f>
        <v>2.1390374331550888E-2</v>
      </c>
      <c r="AS32" s="53">
        <f t="shared" si="550"/>
        <v>0</v>
      </c>
      <c r="AT32" s="242">
        <f t="shared" si="550"/>
        <v>1.5414258188824581E-2</v>
      </c>
      <c r="AU32" s="283">
        <f>IFERROR(AU31/AF31-1,0)</f>
        <v>3.175675675675671E-2</v>
      </c>
      <c r="AV32" s="283">
        <f t="shared" ref="AV32" si="552">IFERROR(AV31/AG31-1,0)</f>
        <v>9.550561797752799E-2</v>
      </c>
      <c r="AW32" s="242">
        <f>IFERROR(AW31/AH31-1,0)</f>
        <v>4.8659384309831077E-2</v>
      </c>
      <c r="AX32" s="210">
        <f>AVERAGE(Q32,T32,W32,Z32,AC32,AF32,AU32,N32,K32,H32)</f>
        <v>7.3577155801061986E-2</v>
      </c>
      <c r="AY32" s="210">
        <f>MEDIAN(R32,U32,X32,AA32,AD32,AG32,AV32,O32,L32,I32)</f>
        <v>6.9367310321257758E-2</v>
      </c>
      <c r="AZ32" s="236"/>
      <c r="BA32" s="236"/>
      <c r="BB32" s="240"/>
      <c r="BC32" s="236"/>
      <c r="BD32" s="236"/>
      <c r="BE32" s="240"/>
      <c r="BF32" s="236"/>
      <c r="BG32" s="236"/>
      <c r="BH32" s="240"/>
      <c r="BI32" s="236"/>
      <c r="BJ32" s="236"/>
      <c r="BK32" s="240"/>
      <c r="BL32" s="236"/>
      <c r="BM32" s="236"/>
      <c r="BN32" s="240"/>
    </row>
    <row r="33" spans="1:66" x14ac:dyDescent="0.35">
      <c r="A33" s="244" t="s">
        <v>29</v>
      </c>
      <c r="E33" s="236"/>
      <c r="F33" s="236"/>
      <c r="G33" s="240"/>
      <c r="H33" s="247">
        <f>H32</f>
        <v>0.12172774869109948</v>
      </c>
      <c r="I33" s="247">
        <f t="shared" ref="I33" si="553">I32</f>
        <v>0.4274509803921569</v>
      </c>
      <c r="J33" s="248">
        <f t="shared" ref="J33" si="554">J32</f>
        <v>0.19823356231599609</v>
      </c>
      <c r="K33" s="247">
        <f t="shared" ref="K33" si="555">K32</f>
        <v>0.17386231038506428</v>
      </c>
      <c r="L33" s="247">
        <f t="shared" ref="L33" si="556">L32</f>
        <v>9.6153846153846256E-2</v>
      </c>
      <c r="M33" s="248">
        <f t="shared" ref="M33" si="557">M32</f>
        <v>0.15069615069615061</v>
      </c>
      <c r="N33" s="247">
        <f t="shared" ref="N33" si="558">N32</f>
        <v>0.10834990059642147</v>
      </c>
      <c r="O33" s="247">
        <f t="shared" ref="O33" si="559">O32</f>
        <v>3.7593984962406068E-2</v>
      </c>
      <c r="P33" s="248">
        <f t="shared" ref="P33" si="560">P32</f>
        <v>8.8256227758007011E-2</v>
      </c>
      <c r="Q33" s="247">
        <f t="shared" ref="Q33" si="561">Q32</f>
        <v>3.7668161434977643E-2</v>
      </c>
      <c r="R33" s="247">
        <f t="shared" ref="R33" si="562">R32</f>
        <v>9.6618357487923134E-3</v>
      </c>
      <c r="S33" s="248">
        <f t="shared" ref="S33" si="563">S32</f>
        <v>3.0085022890778301E-2</v>
      </c>
      <c r="T33" s="247">
        <f t="shared" ref="T33" si="564">T32</f>
        <v>0.15643906655142614</v>
      </c>
      <c r="U33" s="247">
        <f t="shared" ref="U33" si="565">U32</f>
        <v>7.1770334928229707E-2</v>
      </c>
      <c r="V33" s="248">
        <f t="shared" ref="V33" si="566">V32</f>
        <v>0.13396825396825407</v>
      </c>
      <c r="W33" s="247">
        <f t="shared" ref="W33" si="567">W32</f>
        <v>8.8938714499252614E-2</v>
      </c>
      <c r="X33" s="247">
        <f t="shared" ref="X33" si="568">X32</f>
        <v>6.6964285714285809E-2</v>
      </c>
      <c r="Y33" s="248">
        <f t="shared" ref="Y33" si="569">Y32</f>
        <v>8.3426651735722279E-2</v>
      </c>
      <c r="Z33" s="247">
        <f t="shared" ref="Z33" si="570">Z32</f>
        <v>-3.568977350720659E-2</v>
      </c>
      <c r="AA33" s="247">
        <f t="shared" ref="AA33" si="571">AA32</f>
        <v>3.3472803347280422E-2</v>
      </c>
      <c r="AB33" s="248">
        <f t="shared" ref="AB33" si="572">AB32</f>
        <v>-1.8604651162790753E-2</v>
      </c>
      <c r="AC33" s="247">
        <f t="shared" ref="AC33" si="573">AC32</f>
        <v>2.0640569395017794E-2</v>
      </c>
      <c r="AD33" s="247">
        <f t="shared" ref="AD33" si="574">AD32</f>
        <v>0.18218623481781382</v>
      </c>
      <c r="AE33" s="248">
        <f t="shared" ref="AE33" si="575">AE32</f>
        <v>6.2664560294892091E-2</v>
      </c>
      <c r="AF33" s="247">
        <f t="shared" ref="AF33" si="576">AF32</f>
        <v>3.2078103207810349E-2</v>
      </c>
      <c r="AG33" s="247">
        <f t="shared" ref="AG33" si="577">AG32</f>
        <v>-8.5616438356164393E-2</v>
      </c>
      <c r="AH33" s="248">
        <f t="shared" ref="AH33" si="578">AH32</f>
        <v>-1.982160555004997E-3</v>
      </c>
      <c r="AI33" s="249">
        <f>AI32</f>
        <v>-0.74054054054054053</v>
      </c>
      <c r="AJ33" s="249">
        <f t="shared" ref="AJ33" si="579">AJ32</f>
        <v>-0.71535580524344566</v>
      </c>
      <c r="AK33" s="249">
        <f t="shared" ref="AK33" si="580">AK32</f>
        <v>-0.733862959285005</v>
      </c>
      <c r="AL33" s="249">
        <f t="shared" ref="AL33" si="581">AL32</f>
        <v>7.8125E-3</v>
      </c>
      <c r="AM33" s="249">
        <f t="shared" ref="AM33" si="582">AM32</f>
        <v>-5.9210526315789491E-2</v>
      </c>
      <c r="AN33" s="249">
        <f t="shared" ref="AN33" si="583">AN32</f>
        <v>-1.1194029850746245E-2</v>
      </c>
      <c r="AO33" s="249">
        <f t="shared" ref="AO33" si="584">AO32</f>
        <v>-3.3591731266149893E-2</v>
      </c>
      <c r="AP33" s="249">
        <f t="shared" ref="AP33" si="585">AP32</f>
        <v>1.3986013986013957E-2</v>
      </c>
      <c r="AQ33" s="249">
        <f t="shared" ref="AQ33" si="586">AQ32</f>
        <v>-2.0754716981132071E-2</v>
      </c>
      <c r="AR33" s="249">
        <f t="shared" ref="AR33" si="587">AR32</f>
        <v>2.1390374331550888E-2</v>
      </c>
      <c r="AS33" s="249">
        <f t="shared" ref="AS33" si="588">AS32</f>
        <v>0</v>
      </c>
      <c r="AT33" s="249">
        <f t="shared" ref="AT33" si="589">AT32</f>
        <v>1.5414258188824581E-2</v>
      </c>
      <c r="AU33" s="250">
        <f>AU32</f>
        <v>3.175675675675671E-2</v>
      </c>
      <c r="AV33" s="250">
        <f t="shared" ref="AV33" si="590">AV32</f>
        <v>9.550561797752799E-2</v>
      </c>
      <c r="AW33" s="248">
        <f t="shared" ref="AW33" si="591">AW32</f>
        <v>4.8659384309831077E-2</v>
      </c>
      <c r="AX33" s="278"/>
      <c r="AY33" s="278"/>
      <c r="AZ33" s="236"/>
      <c r="BA33" s="236"/>
      <c r="BB33" s="240"/>
      <c r="BC33" s="236"/>
      <c r="BD33" s="236"/>
      <c r="BE33" s="240"/>
      <c r="BF33" s="236"/>
      <c r="BG33" s="236"/>
      <c r="BH33" s="240"/>
      <c r="BI33" s="236"/>
      <c r="BJ33" s="236"/>
      <c r="BK33" s="240"/>
      <c r="BL33" s="236"/>
      <c r="BM33" s="236"/>
      <c r="BN33" s="240"/>
    </row>
    <row r="34" spans="1:66" x14ac:dyDescent="0.35">
      <c r="A34" s="69" t="s">
        <v>1</v>
      </c>
      <c r="B34" s="2"/>
      <c r="C34" s="2"/>
      <c r="D34" s="2"/>
      <c r="E34" s="259">
        <v>462</v>
      </c>
      <c r="F34" s="259">
        <v>282</v>
      </c>
      <c r="G34" s="260">
        <f>E34+F34</f>
        <v>744</v>
      </c>
      <c r="H34" s="259">
        <v>625</v>
      </c>
      <c r="I34" s="259">
        <v>405</v>
      </c>
      <c r="J34" s="260">
        <f>H34+I34</f>
        <v>1030</v>
      </c>
      <c r="K34" s="259">
        <v>837</v>
      </c>
      <c r="L34" s="259">
        <v>475</v>
      </c>
      <c r="M34" s="260">
        <f>K34+L34</f>
        <v>1312</v>
      </c>
      <c r="N34" s="259">
        <v>1049</v>
      </c>
      <c r="O34" s="259">
        <v>586</v>
      </c>
      <c r="P34" s="260">
        <f>N34+O34</f>
        <v>1635</v>
      </c>
      <c r="Q34" s="259">
        <v>1272</v>
      </c>
      <c r="R34" s="259">
        <v>696</v>
      </c>
      <c r="S34" s="260">
        <f>Q34+R34</f>
        <v>1968</v>
      </c>
      <c r="T34" s="259">
        <v>1500</v>
      </c>
      <c r="U34" s="259">
        <v>791</v>
      </c>
      <c r="V34" s="260">
        <f>T34+U34</f>
        <v>2291</v>
      </c>
      <c r="W34" s="259">
        <v>1772</v>
      </c>
      <c r="X34" s="259">
        <v>900</v>
      </c>
      <c r="Y34" s="260">
        <f>W34+X34</f>
        <v>2672</v>
      </c>
      <c r="Z34" s="259">
        <v>1830</v>
      </c>
      <c r="AA34" s="259">
        <v>933</v>
      </c>
      <c r="AB34" s="260">
        <f>Z34+AA34</f>
        <v>2763</v>
      </c>
      <c r="AC34" s="259">
        <v>2150</v>
      </c>
      <c r="AD34" s="259">
        <v>1098</v>
      </c>
      <c r="AE34" s="260">
        <f>AC34+AD34</f>
        <v>3248</v>
      </c>
      <c r="AF34" s="259">
        <v>2465</v>
      </c>
      <c r="AG34" s="259">
        <v>1163</v>
      </c>
      <c r="AH34" s="260">
        <f>AF34+AG34</f>
        <v>3628</v>
      </c>
      <c r="AI34" s="6">
        <v>623</v>
      </c>
      <c r="AJ34" s="6">
        <v>304</v>
      </c>
      <c r="AK34" s="5">
        <f>AJ34+AI34</f>
        <v>927</v>
      </c>
      <c r="AL34" s="6">
        <v>691</v>
      </c>
      <c r="AM34" s="6">
        <v>337</v>
      </c>
      <c r="AN34" s="5">
        <f>AM34+AL34</f>
        <v>1028</v>
      </c>
      <c r="AO34" s="6">
        <v>673</v>
      </c>
      <c r="AP34" s="6">
        <v>313</v>
      </c>
      <c r="AQ34" s="5">
        <f>AP34+AO34</f>
        <v>986</v>
      </c>
      <c r="AR34" s="6">
        <v>746</v>
      </c>
      <c r="AS34" s="6">
        <v>361</v>
      </c>
      <c r="AT34" s="5">
        <f>AS34+AR34</f>
        <v>1107</v>
      </c>
      <c r="AU34" s="259">
        <f>AI34+AL34+AO34+AR34</f>
        <v>2733</v>
      </c>
      <c r="AV34" s="259">
        <f>AJ34+AM34+AP34+AS34</f>
        <v>1315</v>
      </c>
      <c r="AW34" s="260">
        <f>AU34+AV34</f>
        <v>4048</v>
      </c>
      <c r="AX34" s="277"/>
      <c r="AY34" s="277"/>
      <c r="AZ34" s="259">
        <f>AU34*(1+AX35)</f>
        <v>3225.7306792452832</v>
      </c>
      <c r="BA34" s="259">
        <f>AV34*(1+AY35)</f>
        <v>1519.2456415539011</v>
      </c>
      <c r="BB34" s="260">
        <f>AZ34+BA34</f>
        <v>4744.9763207991846</v>
      </c>
      <c r="BC34" s="259">
        <f>AZ34*(1+$AX35-0.07)</f>
        <v>3581.4942842216687</v>
      </c>
      <c r="BD34" s="259">
        <f>BA34*(1.05)</f>
        <v>1595.2079236315963</v>
      </c>
      <c r="BE34" s="260">
        <f>BC34+BD34</f>
        <v>5176.7022078532646</v>
      </c>
      <c r="BF34" s="259">
        <f>BC34*(1.05)</f>
        <v>3760.5689984327523</v>
      </c>
      <c r="BG34" s="259">
        <f>BD34*(1.05)</f>
        <v>1674.9683198131761</v>
      </c>
      <c r="BH34" s="260">
        <f>BF34+BG34</f>
        <v>5435.537318245928</v>
      </c>
      <c r="BI34" s="259">
        <f>BF34*(1.05)</f>
        <v>3948.5974483543901</v>
      </c>
      <c r="BJ34" s="259">
        <f>BG34*(1.02)</f>
        <v>1708.4676862094395</v>
      </c>
      <c r="BK34" s="260">
        <f>BI34+BJ34</f>
        <v>5657.0651345638298</v>
      </c>
      <c r="BL34" s="259">
        <f>BI34*(1)</f>
        <v>3948.5974483543901</v>
      </c>
      <c r="BM34" s="259">
        <f>BJ34*(1)</f>
        <v>1708.4676862094395</v>
      </c>
      <c r="BN34" s="260">
        <f>BL34+BM34</f>
        <v>5657.0651345638298</v>
      </c>
    </row>
    <row r="35" spans="1:66" x14ac:dyDescent="0.35">
      <c r="A35" s="241" t="s">
        <v>28</v>
      </c>
      <c r="E35" s="53"/>
      <c r="F35" s="53"/>
      <c r="G35" s="242"/>
      <c r="H35" s="53">
        <f t="shared" ref="H35" si="592">IFERROR(H34/E34-1,0)</f>
        <v>0.35281385281385291</v>
      </c>
      <c r="I35" s="53">
        <f t="shared" ref="I35" si="593">IFERROR(I34/F34-1,0)</f>
        <v>0.43617021276595747</v>
      </c>
      <c r="J35" s="242">
        <f t="shared" ref="J35" si="594">IFERROR(J34/G34-1,0)</f>
        <v>0.38440860215053774</v>
      </c>
      <c r="K35" s="53">
        <f>IFERROR(K34/H34-1,0)</f>
        <v>0.33919999999999995</v>
      </c>
      <c r="L35" s="53">
        <f t="shared" ref="L35" si="595">IFERROR(L34/I34-1,0)</f>
        <v>0.17283950617283961</v>
      </c>
      <c r="M35" s="242">
        <f t="shared" ref="M35" si="596">IFERROR(M34/J34-1,0)</f>
        <v>0.27378640776699026</v>
      </c>
      <c r="N35" s="53">
        <f t="shared" ref="N35" si="597">IFERROR(N34/K34-1,0)</f>
        <v>0.25328554360812428</v>
      </c>
      <c r="O35" s="53">
        <f t="shared" ref="O35" si="598">IFERROR(O34/L34-1,0)</f>
        <v>0.23368421052631572</v>
      </c>
      <c r="P35" s="242">
        <f t="shared" ref="P35" si="599">IFERROR(P34/M34-1,0)</f>
        <v>0.24618902439024382</v>
      </c>
      <c r="Q35" s="53">
        <f t="shared" ref="Q35" si="600">IFERROR(Q34/N34-1,0)</f>
        <v>0.21258341277407045</v>
      </c>
      <c r="R35" s="53">
        <f t="shared" ref="R35" si="601">IFERROR(R34/O34-1,0)</f>
        <v>0.18771331058020468</v>
      </c>
      <c r="S35" s="242">
        <f t="shared" ref="S35" si="602">IFERROR(S34/P34-1,0)</f>
        <v>0.20366972477064227</v>
      </c>
      <c r="T35" s="53">
        <f t="shared" ref="T35" si="603">IFERROR(T34/Q34-1,0)</f>
        <v>0.179245283018868</v>
      </c>
      <c r="U35" s="53">
        <f t="shared" ref="U35" si="604">IFERROR(U34/R34-1,0)</f>
        <v>0.13649425287356332</v>
      </c>
      <c r="V35" s="242">
        <f t="shared" ref="V35" si="605">IFERROR(V34/S34-1,0)</f>
        <v>0.16412601626016254</v>
      </c>
      <c r="W35" s="53">
        <f t="shared" ref="W35" si="606">IFERROR(W34/T34-1,0)</f>
        <v>0.18133333333333335</v>
      </c>
      <c r="X35" s="53">
        <f t="shared" ref="X35" si="607">IFERROR(X34/U34-1,0)</f>
        <v>0.13780025284450059</v>
      </c>
      <c r="Y35" s="242">
        <f t="shared" ref="Y35" si="608">IFERROR(Y34/V34-1,0)</f>
        <v>0.16630292448712347</v>
      </c>
      <c r="Z35" s="53">
        <f t="shared" ref="Z35" si="609">IFERROR(Z34/W34-1,0)</f>
        <v>3.2731376975169368E-2</v>
      </c>
      <c r="AA35" s="53">
        <f t="shared" ref="AA35" si="610">IFERROR(AA34/X34-1,0)</f>
        <v>3.6666666666666625E-2</v>
      </c>
      <c r="AB35" s="242">
        <f t="shared" ref="AB35" si="611">IFERROR(AB34/Y34-1,0)</f>
        <v>3.4056886227544991E-2</v>
      </c>
      <c r="AC35" s="53">
        <f t="shared" ref="AC35" si="612">IFERROR(AC34/Z34-1,0)</f>
        <v>0.17486338797814205</v>
      </c>
      <c r="AD35" s="53">
        <f t="shared" ref="AD35" si="613">IFERROR(AD34/AA34-1,0)</f>
        <v>0.17684887459807075</v>
      </c>
      <c r="AE35" s="242">
        <f t="shared" ref="AE35" si="614">IFERROR(AE34/AB34-1,0)</f>
        <v>0.17553384002895411</v>
      </c>
      <c r="AF35" s="53">
        <f t="shared" ref="AF35" si="615">IFERROR(AF34/AC34-1,0)</f>
        <v>0.14651162790697669</v>
      </c>
      <c r="AG35" s="53">
        <f t="shared" ref="AG35" si="616">IFERROR(AG34/AD34-1,0)</f>
        <v>5.9198542805100285E-2</v>
      </c>
      <c r="AH35" s="242">
        <f t="shared" ref="AH35" si="617">IFERROR(AH34/AE34-1,0)</f>
        <v>0.11699507389162567</v>
      </c>
      <c r="AI35" s="53">
        <f>IFERROR(AI34/AF34-1,0)</f>
        <v>-0.74726166328600407</v>
      </c>
      <c r="AJ35" s="53">
        <f t="shared" ref="AJ35:AK35" si="618">IFERROR(AJ34/AG34-1,0)</f>
        <v>-0.73860705073086841</v>
      </c>
      <c r="AK35" s="242">
        <f t="shared" si="618"/>
        <v>-0.74448732083792724</v>
      </c>
      <c r="AL35" s="53">
        <f t="shared" ref="AL35" si="619">IFERROR(AL34/AI34-1,0)</f>
        <v>0.10914927768860361</v>
      </c>
      <c r="AM35" s="53">
        <f t="shared" ref="AM35:AN35" si="620">IFERROR(AM34/AJ34-1,0)</f>
        <v>0.10855263157894735</v>
      </c>
      <c r="AN35" s="242">
        <f t="shared" si="620"/>
        <v>0.10895361380798274</v>
      </c>
      <c r="AO35" s="53">
        <f t="shared" ref="AO35" si="621">IFERROR(AO34/AL34-1,0)</f>
        <v>-2.6049204052098429E-2</v>
      </c>
      <c r="AP35" s="53">
        <f t="shared" ref="AP35" si="622">IFERROR(AP34/AM34-1,0)</f>
        <v>-7.1216617210682509E-2</v>
      </c>
      <c r="AQ35" s="242">
        <f t="shared" ref="AQ35:AT35" si="623">IFERROR(AQ34/AN34-1,0)</f>
        <v>-4.0856031128404635E-2</v>
      </c>
      <c r="AR35" s="53">
        <f t="shared" ref="AR35" si="624">IFERROR(AR34/AO34-1,0)</f>
        <v>0.10846953937592874</v>
      </c>
      <c r="AS35" s="53">
        <f t="shared" si="623"/>
        <v>0.15335463258785942</v>
      </c>
      <c r="AT35" s="242">
        <f t="shared" si="623"/>
        <v>0.12271805273833669</v>
      </c>
      <c r="AU35" s="283">
        <f>IFERROR(AU34/AF34-1,0)</f>
        <v>0.1087221095334685</v>
      </c>
      <c r="AV35" s="283">
        <f t="shared" ref="AV35" si="625">IFERROR(AV34/AG34-1,0)</f>
        <v>0.1306964746345658</v>
      </c>
      <c r="AW35" s="242">
        <f>IFERROR(AW34/AH34-1,0)</f>
        <v>0.11576626240352805</v>
      </c>
      <c r="AX35" s="210">
        <f>MEDIAN(Q35,T35,W35,Z35,AC35,AF35,AU35,N35,K35,H35)</f>
        <v>0.18028930817610067</v>
      </c>
      <c r="AY35" s="210">
        <f>MEDIAN(R35,U35,X35,AA35,AD35,AG35,AV35,O35,L35,I35)</f>
        <v>0.1553198795086701</v>
      </c>
      <c r="AZ35" s="236"/>
      <c r="BA35" s="236"/>
      <c r="BB35" s="240"/>
      <c r="BC35" s="236"/>
      <c r="BD35" s="236"/>
      <c r="BE35" s="240"/>
      <c r="BF35" s="236"/>
      <c r="BG35" s="236"/>
      <c r="BH35" s="240"/>
      <c r="BI35" s="236"/>
      <c r="BJ35" s="236"/>
      <c r="BK35" s="240"/>
      <c r="BL35" s="236"/>
      <c r="BM35" s="236"/>
      <c r="BN35" s="240"/>
    </row>
    <row r="36" spans="1:66" x14ac:dyDescent="0.35">
      <c r="A36" s="244" t="s">
        <v>29</v>
      </c>
      <c r="E36" s="236"/>
      <c r="F36" s="236"/>
      <c r="G36" s="240"/>
      <c r="H36" s="247">
        <f>H35</f>
        <v>0.35281385281385291</v>
      </c>
      <c r="I36" s="247">
        <f t="shared" ref="I36" si="626">I35</f>
        <v>0.43617021276595747</v>
      </c>
      <c r="J36" s="248">
        <f t="shared" ref="J36" si="627">J35</f>
        <v>0.38440860215053774</v>
      </c>
      <c r="K36" s="247">
        <f t="shared" ref="K36" si="628">K35</f>
        <v>0.33919999999999995</v>
      </c>
      <c r="L36" s="247">
        <f t="shared" ref="L36" si="629">L35</f>
        <v>0.17283950617283961</v>
      </c>
      <c r="M36" s="248">
        <f t="shared" ref="M36" si="630">M35</f>
        <v>0.27378640776699026</v>
      </c>
      <c r="N36" s="247">
        <f t="shared" ref="N36" si="631">N35</f>
        <v>0.25328554360812428</v>
      </c>
      <c r="O36" s="247">
        <f t="shared" ref="O36" si="632">O35</f>
        <v>0.23368421052631572</v>
      </c>
      <c r="P36" s="248">
        <f t="shared" ref="P36" si="633">P35</f>
        <v>0.24618902439024382</v>
      </c>
      <c r="Q36" s="247">
        <f t="shared" ref="Q36" si="634">Q35</f>
        <v>0.21258341277407045</v>
      </c>
      <c r="R36" s="247">
        <f t="shared" ref="R36" si="635">R35</f>
        <v>0.18771331058020468</v>
      </c>
      <c r="S36" s="248">
        <f t="shared" ref="S36" si="636">S35</f>
        <v>0.20366972477064227</v>
      </c>
      <c r="T36" s="247">
        <f t="shared" ref="T36" si="637">T35</f>
        <v>0.179245283018868</v>
      </c>
      <c r="U36" s="247">
        <f t="shared" ref="U36" si="638">U35</f>
        <v>0.13649425287356332</v>
      </c>
      <c r="V36" s="248">
        <f t="shared" ref="V36" si="639">V35</f>
        <v>0.16412601626016254</v>
      </c>
      <c r="W36" s="247">
        <f t="shared" ref="W36" si="640">W35</f>
        <v>0.18133333333333335</v>
      </c>
      <c r="X36" s="247">
        <f t="shared" ref="X36" si="641">X35</f>
        <v>0.13780025284450059</v>
      </c>
      <c r="Y36" s="248">
        <f t="shared" ref="Y36" si="642">Y35</f>
        <v>0.16630292448712347</v>
      </c>
      <c r="Z36" s="247">
        <f t="shared" ref="Z36" si="643">Z35</f>
        <v>3.2731376975169368E-2</v>
      </c>
      <c r="AA36" s="247">
        <f t="shared" ref="AA36" si="644">AA35</f>
        <v>3.6666666666666625E-2</v>
      </c>
      <c r="AB36" s="248">
        <f t="shared" ref="AB36" si="645">AB35</f>
        <v>3.4056886227544991E-2</v>
      </c>
      <c r="AC36" s="247">
        <f t="shared" ref="AC36" si="646">AC35</f>
        <v>0.17486338797814205</v>
      </c>
      <c r="AD36" s="247">
        <f t="shared" ref="AD36" si="647">AD35</f>
        <v>0.17684887459807075</v>
      </c>
      <c r="AE36" s="248">
        <f t="shared" ref="AE36" si="648">AE35</f>
        <v>0.17553384002895411</v>
      </c>
      <c r="AF36" s="247">
        <f t="shared" ref="AF36" si="649">AF35</f>
        <v>0.14651162790697669</v>
      </c>
      <c r="AG36" s="247">
        <f t="shared" ref="AG36" si="650">AG35</f>
        <v>5.9198542805100285E-2</v>
      </c>
      <c r="AH36" s="248">
        <f t="shared" ref="AH36" si="651">AH35</f>
        <v>0.11699507389162567</v>
      </c>
      <c r="AI36" s="249">
        <f>AI35</f>
        <v>-0.74726166328600407</v>
      </c>
      <c r="AJ36" s="249">
        <f t="shared" ref="AJ36" si="652">AJ35</f>
        <v>-0.73860705073086841</v>
      </c>
      <c r="AK36" s="249">
        <f t="shared" ref="AK36" si="653">AK35</f>
        <v>-0.74448732083792724</v>
      </c>
      <c r="AL36" s="249">
        <f t="shared" ref="AL36" si="654">AL35</f>
        <v>0.10914927768860361</v>
      </c>
      <c r="AM36" s="249">
        <f t="shared" ref="AM36" si="655">AM35</f>
        <v>0.10855263157894735</v>
      </c>
      <c r="AN36" s="249">
        <f t="shared" ref="AN36" si="656">AN35</f>
        <v>0.10895361380798274</v>
      </c>
      <c r="AO36" s="249">
        <f t="shared" ref="AO36" si="657">AO35</f>
        <v>-2.6049204052098429E-2</v>
      </c>
      <c r="AP36" s="249">
        <f t="shared" ref="AP36" si="658">AP35</f>
        <v>-7.1216617210682509E-2</v>
      </c>
      <c r="AQ36" s="249">
        <f t="shared" ref="AQ36" si="659">AQ35</f>
        <v>-4.0856031128404635E-2</v>
      </c>
      <c r="AR36" s="249">
        <f t="shared" ref="AR36" si="660">AR35</f>
        <v>0.10846953937592874</v>
      </c>
      <c r="AS36" s="249">
        <f t="shared" ref="AS36" si="661">AS35</f>
        <v>0.15335463258785942</v>
      </c>
      <c r="AT36" s="249">
        <f t="shared" ref="AT36" si="662">AT35</f>
        <v>0.12271805273833669</v>
      </c>
      <c r="AU36" s="250">
        <f>AU35</f>
        <v>0.1087221095334685</v>
      </c>
      <c r="AV36" s="250">
        <f t="shared" ref="AV36" si="663">AV35</f>
        <v>0.1306964746345658</v>
      </c>
      <c r="AW36" s="248">
        <f t="shared" ref="AW36" si="664">AW35</f>
        <v>0.11576626240352805</v>
      </c>
      <c r="AX36" s="278"/>
      <c r="AY36" s="278"/>
      <c r="AZ36" s="236"/>
      <c r="BA36" s="236"/>
      <c r="BB36" s="240"/>
      <c r="BC36" s="236"/>
      <c r="BD36" s="236"/>
      <c r="BE36" s="240"/>
      <c r="BF36" s="236"/>
      <c r="BG36" s="236"/>
      <c r="BH36" s="240"/>
      <c r="BI36" s="236"/>
      <c r="BJ36" s="236"/>
      <c r="BK36" s="240"/>
      <c r="BL36" s="236"/>
      <c r="BM36" s="236"/>
      <c r="BN36" s="240"/>
    </row>
    <row r="37" spans="1:66" x14ac:dyDescent="0.35">
      <c r="A37" s="69" t="s">
        <v>36</v>
      </c>
      <c r="B37" s="2"/>
      <c r="C37" s="2"/>
      <c r="D37" s="2"/>
      <c r="E37" s="259">
        <v>71</v>
      </c>
      <c r="F37" s="259">
        <v>2</v>
      </c>
      <c r="G37" s="260">
        <f>E37+F37</f>
        <v>73</v>
      </c>
      <c r="H37" s="259">
        <v>306</v>
      </c>
      <c r="I37" s="259">
        <v>25</v>
      </c>
      <c r="J37" s="260">
        <f>H37+I37</f>
        <v>331</v>
      </c>
      <c r="K37" s="259">
        <v>467</v>
      </c>
      <c r="L37" s="259">
        <v>45</v>
      </c>
      <c r="M37" s="260">
        <f>K37+L37</f>
        <v>512</v>
      </c>
      <c r="N37" s="259">
        <v>554</v>
      </c>
      <c r="O37" s="259">
        <v>138</v>
      </c>
      <c r="P37" s="260">
        <f>N37+O37</f>
        <v>692</v>
      </c>
      <c r="Q37" s="259">
        <v>562</v>
      </c>
      <c r="R37" s="259">
        <v>273</v>
      </c>
      <c r="S37" s="260">
        <f>Q37+R37</f>
        <v>835</v>
      </c>
      <c r="T37" s="259">
        <v>583</v>
      </c>
      <c r="U37" s="259">
        <v>385</v>
      </c>
      <c r="V37" s="260">
        <f>T37+U37</f>
        <v>968</v>
      </c>
      <c r="W37" s="259">
        <v>654</v>
      </c>
      <c r="X37" s="259">
        <v>390</v>
      </c>
      <c r="Y37" s="260">
        <f>W37+X37</f>
        <v>1044</v>
      </c>
      <c r="Z37" s="259">
        <v>710</v>
      </c>
      <c r="AA37" s="259">
        <v>355</v>
      </c>
      <c r="AB37" s="260">
        <f>Z37+AA37</f>
        <v>1065</v>
      </c>
      <c r="AC37" s="259">
        <v>736</v>
      </c>
      <c r="AD37" s="259">
        <v>372</v>
      </c>
      <c r="AE37" s="260">
        <f>AC37+AD37</f>
        <v>1108</v>
      </c>
      <c r="AF37" s="259">
        <v>850</v>
      </c>
      <c r="AG37" s="259">
        <v>397</v>
      </c>
      <c r="AH37" s="260">
        <f>AF37+AG37</f>
        <v>1247</v>
      </c>
      <c r="AI37" s="6">
        <v>234</v>
      </c>
      <c r="AJ37" s="6">
        <v>124</v>
      </c>
      <c r="AK37" s="5">
        <f>AJ37+AI37</f>
        <v>358</v>
      </c>
      <c r="AL37" s="6">
        <v>234</v>
      </c>
      <c r="AM37" s="6">
        <v>112</v>
      </c>
      <c r="AN37" s="5">
        <f>AM37+AL37</f>
        <v>346</v>
      </c>
      <c r="AO37" s="6">
        <v>231</v>
      </c>
      <c r="AP37" s="6">
        <v>118</v>
      </c>
      <c r="AQ37" s="5">
        <f>AP37+AO37</f>
        <v>349</v>
      </c>
      <c r="AR37" s="6">
        <v>222</v>
      </c>
      <c r="AS37" s="6">
        <v>128</v>
      </c>
      <c r="AT37" s="5">
        <f>AS37+AR37</f>
        <v>350</v>
      </c>
      <c r="AU37" s="259">
        <f>AI37+AL37+AO37+AR37</f>
        <v>921</v>
      </c>
      <c r="AV37" s="259">
        <f>AJ37+AM37+AP37+AS37</f>
        <v>482</v>
      </c>
      <c r="AW37" s="260">
        <f>AU37+AV37</f>
        <v>1403</v>
      </c>
      <c r="AX37" s="277"/>
      <c r="AY37" s="277"/>
      <c r="AZ37" s="259">
        <f>AU37*(1+AX38)</f>
        <v>999.86238532110099</v>
      </c>
      <c r="BA37" s="259">
        <f>AV37*(1+AY38)</f>
        <v>509.73708162956223</v>
      </c>
      <c r="BB37" s="260">
        <f>AZ37+BA37</f>
        <v>1509.5994669506631</v>
      </c>
      <c r="BC37" s="259">
        <f>AZ37*(1+$AX38-0.07)</f>
        <v>1015.4871461437029</v>
      </c>
      <c r="BD37" s="259">
        <f>BA37*(1+$AY38)</f>
        <v>539.07031615813901</v>
      </c>
      <c r="BE37" s="260">
        <f>BC37+BD37</f>
        <v>1554.557462301842</v>
      </c>
      <c r="BF37" s="259">
        <f>BC37*(1+$AX38)</f>
        <v>1102.4401739480568</v>
      </c>
      <c r="BG37" s="259">
        <f>BD37*(1+$AY38)</f>
        <v>570.0915555011934</v>
      </c>
      <c r="BH37" s="260">
        <f>BF37+BG37</f>
        <v>1672.5317294492502</v>
      </c>
      <c r="BI37" s="259">
        <f>BF37*(1+$AX38)</f>
        <v>1196.8387209527834</v>
      </c>
      <c r="BJ37" s="259">
        <f>BG37*(1+$AY38)</f>
        <v>602.89793726729442</v>
      </c>
      <c r="BK37" s="260">
        <f>BI37+BJ37</f>
        <v>1799.736658220078</v>
      </c>
      <c r="BL37" s="259">
        <f>BI37*(1+$AX38-0.01)</f>
        <v>1287.3519367606193</v>
      </c>
      <c r="BM37" s="259">
        <f>BJ37*(1+$AY38-0.01)</f>
        <v>631.56320955494857</v>
      </c>
      <c r="BN37" s="260">
        <f>BL37+BM37</f>
        <v>1918.9151463155679</v>
      </c>
    </row>
    <row r="38" spans="1:66" x14ac:dyDescent="0.35">
      <c r="A38" s="241" t="s">
        <v>28</v>
      </c>
      <c r="E38" s="53"/>
      <c r="F38" s="53"/>
      <c r="G38" s="242"/>
      <c r="H38" s="53">
        <f t="shared" ref="H38" si="665">IFERROR(H37/E37-1,0)</f>
        <v>3.3098591549295771</v>
      </c>
      <c r="I38" s="53">
        <f t="shared" ref="I38" si="666">IFERROR(I37/F37-1,0)</f>
        <v>11.5</v>
      </c>
      <c r="J38" s="242">
        <f t="shared" ref="J38" si="667">IFERROR(J37/G37-1,0)</f>
        <v>3.5342465753424657</v>
      </c>
      <c r="K38" s="53">
        <f>IFERROR(K37/H37-1,0)</f>
        <v>0.52614379084967311</v>
      </c>
      <c r="L38" s="53">
        <f t="shared" ref="L38" si="668">IFERROR(L37/I37-1,0)</f>
        <v>0.8</v>
      </c>
      <c r="M38" s="242">
        <f t="shared" ref="M38" si="669">IFERROR(M37/J37-1,0)</f>
        <v>0.54682779456193353</v>
      </c>
      <c r="N38" s="53">
        <f t="shared" ref="N38" si="670">IFERROR(N37/K37-1,0)</f>
        <v>0.18629550321199151</v>
      </c>
      <c r="O38" s="53">
        <f t="shared" ref="O38" si="671">IFERROR(O37/L37-1,0)</f>
        <v>2.0666666666666669</v>
      </c>
      <c r="P38" s="242">
        <f t="shared" ref="P38" si="672">IFERROR(P37/M37-1,0)</f>
        <v>0.3515625</v>
      </c>
      <c r="Q38" s="53">
        <f t="shared" ref="Q38" si="673">IFERROR(Q37/N37-1,0)</f>
        <v>1.4440433212996373E-2</v>
      </c>
      <c r="R38" s="53">
        <f t="shared" ref="R38" si="674">IFERROR(R37/O37-1,0)</f>
        <v>0.97826086956521729</v>
      </c>
      <c r="S38" s="242">
        <f t="shared" ref="S38" si="675">IFERROR(S37/P37-1,0)</f>
        <v>0.20664739884393057</v>
      </c>
      <c r="T38" s="53">
        <f t="shared" ref="T38" si="676">IFERROR(T37/Q37-1,0)</f>
        <v>3.7366548042704562E-2</v>
      </c>
      <c r="U38" s="53">
        <f t="shared" ref="U38" si="677">IFERROR(U37/R37-1,0)</f>
        <v>0.41025641025641035</v>
      </c>
      <c r="V38" s="242">
        <f t="shared" ref="V38" si="678">IFERROR(V37/S37-1,0)</f>
        <v>0.15928143712574849</v>
      </c>
      <c r="W38" s="53">
        <f t="shared" ref="W38" si="679">IFERROR(W37/T37-1,0)</f>
        <v>0.12178387650085765</v>
      </c>
      <c r="X38" s="53">
        <f t="shared" ref="X38" si="680">IFERROR(X37/U37-1,0)</f>
        <v>1.298701298701288E-2</v>
      </c>
      <c r="Y38" s="242">
        <f t="shared" ref="Y38" si="681">IFERROR(Y37/V37-1,0)</f>
        <v>7.8512396694214948E-2</v>
      </c>
      <c r="Z38" s="53">
        <f t="shared" ref="Z38" si="682">IFERROR(Z37/W37-1,0)</f>
        <v>8.5626911314984788E-2</v>
      </c>
      <c r="AA38" s="53">
        <f t="shared" ref="AA38" si="683">IFERROR(AA37/X37-1,0)</f>
        <v>-8.9743589743589758E-2</v>
      </c>
      <c r="AB38" s="242">
        <f t="shared" ref="AB38" si="684">IFERROR(AB37/Y37-1,0)</f>
        <v>2.0114942528735691E-2</v>
      </c>
      <c r="AC38" s="53">
        <f t="shared" ref="AC38" si="685">IFERROR(AC37/Z37-1,0)</f>
        <v>3.6619718309859106E-2</v>
      </c>
      <c r="AD38" s="53">
        <f t="shared" ref="AD38" si="686">IFERROR(AD37/AA37-1,0)</f>
        <v>4.7887323943661908E-2</v>
      </c>
      <c r="AE38" s="242">
        <f t="shared" ref="AE38" si="687">IFERROR(AE37/AB37-1,0)</f>
        <v>4.0375586854460188E-2</v>
      </c>
      <c r="AF38" s="53">
        <f t="shared" ref="AF38" si="688">IFERROR(AF37/AC37-1,0)</f>
        <v>0.15489130434782616</v>
      </c>
      <c r="AG38" s="53">
        <f t="shared" ref="AG38" si="689">IFERROR(AG37/AD37-1,0)</f>
        <v>6.7204301075268758E-2</v>
      </c>
      <c r="AH38" s="242">
        <f t="shared" ref="AH38" si="690">IFERROR(AH37/AE37-1,0)</f>
        <v>0.12545126353790614</v>
      </c>
      <c r="AI38" s="53">
        <f>IFERROR(AI37/AF37-1,0)</f>
        <v>-0.7247058823529412</v>
      </c>
      <c r="AJ38" s="53">
        <f t="shared" ref="AJ38:AK38" si="691">IFERROR(AJ37/AG37-1,0)</f>
        <v>-0.68765743073047858</v>
      </c>
      <c r="AK38" s="242">
        <f t="shared" si="691"/>
        <v>-0.71291098636728145</v>
      </c>
      <c r="AL38" s="53">
        <f t="shared" ref="AL38" si="692">IFERROR(AL37/AI37-1,0)</f>
        <v>0</v>
      </c>
      <c r="AM38" s="53">
        <f t="shared" ref="AM38:AN38" si="693">IFERROR(AM37/AJ37-1,0)</f>
        <v>-9.6774193548387122E-2</v>
      </c>
      <c r="AN38" s="242">
        <f t="shared" si="693"/>
        <v>-3.3519553072625663E-2</v>
      </c>
      <c r="AO38" s="53">
        <f t="shared" ref="AO38" si="694">IFERROR(AO37/AL37-1,0)</f>
        <v>-1.2820512820512775E-2</v>
      </c>
      <c r="AP38" s="53">
        <f t="shared" ref="AP38" si="695">IFERROR(AP37/AM37-1,0)</f>
        <v>5.3571428571428603E-2</v>
      </c>
      <c r="AQ38" s="242">
        <f t="shared" ref="AQ38:AT38" si="696">IFERROR(AQ37/AN37-1,0)</f>
        <v>8.6705202312138407E-3</v>
      </c>
      <c r="AR38" s="53">
        <f t="shared" ref="AR38" si="697">IFERROR(AR37/AO37-1,0)</f>
        <v>-3.8961038961038974E-2</v>
      </c>
      <c r="AS38" s="53">
        <f t="shared" si="696"/>
        <v>8.4745762711864403E-2</v>
      </c>
      <c r="AT38" s="242">
        <f t="shared" si="696"/>
        <v>2.8653295128939771E-3</v>
      </c>
      <c r="AU38" s="283">
        <f>IFERROR(AU37/AF37-1,0)</f>
        <v>8.3529411764705852E-2</v>
      </c>
      <c r="AV38" s="283">
        <f t="shared" ref="AV38" si="698">IFERROR(AV37/AG37-1,0)</f>
        <v>0.21410579345088165</v>
      </c>
      <c r="AW38" s="242">
        <f>IFERROR(AW37/AH37-1,0)</f>
        <v>0.12510024057738578</v>
      </c>
      <c r="AX38" s="210">
        <f>MEDIAN(Q38,T38,W38,Z38,AC38,AF38,AU38,N38,K38)</f>
        <v>8.5626911314984788E-2</v>
      </c>
      <c r="AY38" s="210">
        <f>MEDIAN(X38,AA38,AD38,AG38,AV38,U38)</f>
        <v>5.7545812509465333E-2</v>
      </c>
      <c r="AZ38" s="236"/>
      <c r="BA38" s="236"/>
      <c r="BB38" s="240"/>
      <c r="BC38" s="236"/>
      <c r="BD38" s="236"/>
      <c r="BE38" s="240"/>
      <c r="BF38" s="236"/>
      <c r="BG38" s="236"/>
      <c r="BH38" s="240"/>
      <c r="BI38" s="236"/>
      <c r="BJ38" s="236"/>
      <c r="BK38" s="240"/>
      <c r="BL38" s="236"/>
      <c r="BM38" s="236"/>
      <c r="BN38" s="240"/>
    </row>
    <row r="39" spans="1:66" x14ac:dyDescent="0.35">
      <c r="A39" s="244" t="s">
        <v>29</v>
      </c>
      <c r="E39" s="236"/>
      <c r="F39" s="236"/>
      <c r="G39" s="240"/>
      <c r="H39" s="247">
        <f>H38</f>
        <v>3.3098591549295771</v>
      </c>
      <c r="I39" s="247">
        <f t="shared" ref="I39" si="699">I38</f>
        <v>11.5</v>
      </c>
      <c r="J39" s="248">
        <f t="shared" ref="J39" si="700">J38</f>
        <v>3.5342465753424657</v>
      </c>
      <c r="K39" s="247">
        <f t="shared" ref="K39" si="701">K38</f>
        <v>0.52614379084967311</v>
      </c>
      <c r="L39" s="247">
        <f t="shared" ref="L39" si="702">L38</f>
        <v>0.8</v>
      </c>
      <c r="M39" s="248">
        <f t="shared" ref="M39" si="703">M38</f>
        <v>0.54682779456193353</v>
      </c>
      <c r="N39" s="247">
        <f t="shared" ref="N39" si="704">N38</f>
        <v>0.18629550321199151</v>
      </c>
      <c r="O39" s="247">
        <f t="shared" ref="O39" si="705">O38</f>
        <v>2.0666666666666669</v>
      </c>
      <c r="P39" s="248">
        <f t="shared" ref="P39" si="706">P38</f>
        <v>0.3515625</v>
      </c>
      <c r="Q39" s="247">
        <f t="shared" ref="Q39" si="707">Q38</f>
        <v>1.4440433212996373E-2</v>
      </c>
      <c r="R39" s="247">
        <f t="shared" ref="R39" si="708">R38</f>
        <v>0.97826086956521729</v>
      </c>
      <c r="S39" s="248">
        <f t="shared" ref="S39" si="709">S38</f>
        <v>0.20664739884393057</v>
      </c>
      <c r="T39" s="247">
        <f t="shared" ref="T39" si="710">T38</f>
        <v>3.7366548042704562E-2</v>
      </c>
      <c r="U39" s="247">
        <f t="shared" ref="U39" si="711">U38</f>
        <v>0.41025641025641035</v>
      </c>
      <c r="V39" s="248">
        <f t="shared" ref="V39" si="712">V38</f>
        <v>0.15928143712574849</v>
      </c>
      <c r="W39" s="247">
        <f t="shared" ref="W39" si="713">W38</f>
        <v>0.12178387650085765</v>
      </c>
      <c r="X39" s="247">
        <f t="shared" ref="X39" si="714">X38</f>
        <v>1.298701298701288E-2</v>
      </c>
      <c r="Y39" s="248">
        <f t="shared" ref="Y39" si="715">Y38</f>
        <v>7.8512396694214948E-2</v>
      </c>
      <c r="Z39" s="247">
        <f t="shared" ref="Z39" si="716">Z38</f>
        <v>8.5626911314984788E-2</v>
      </c>
      <c r="AA39" s="247">
        <f t="shared" ref="AA39" si="717">AA38</f>
        <v>-8.9743589743589758E-2</v>
      </c>
      <c r="AB39" s="248">
        <f t="shared" ref="AB39" si="718">AB38</f>
        <v>2.0114942528735691E-2</v>
      </c>
      <c r="AC39" s="247">
        <f t="shared" ref="AC39" si="719">AC38</f>
        <v>3.6619718309859106E-2</v>
      </c>
      <c r="AD39" s="247">
        <f t="shared" ref="AD39" si="720">AD38</f>
        <v>4.7887323943661908E-2</v>
      </c>
      <c r="AE39" s="248">
        <f t="shared" ref="AE39" si="721">AE38</f>
        <v>4.0375586854460188E-2</v>
      </c>
      <c r="AF39" s="247">
        <f t="shared" ref="AF39" si="722">AF38</f>
        <v>0.15489130434782616</v>
      </c>
      <c r="AG39" s="247">
        <f t="shared" ref="AG39" si="723">AG38</f>
        <v>6.7204301075268758E-2</v>
      </c>
      <c r="AH39" s="248">
        <f t="shared" ref="AH39" si="724">AH38</f>
        <v>0.12545126353790614</v>
      </c>
      <c r="AI39" s="249">
        <f>AI38</f>
        <v>-0.7247058823529412</v>
      </c>
      <c r="AJ39" s="249">
        <f t="shared" ref="AJ39" si="725">AJ38</f>
        <v>-0.68765743073047858</v>
      </c>
      <c r="AK39" s="249">
        <f t="shared" ref="AK39" si="726">AK38</f>
        <v>-0.71291098636728145</v>
      </c>
      <c r="AL39" s="249">
        <f t="shared" ref="AL39" si="727">AL38</f>
        <v>0</v>
      </c>
      <c r="AM39" s="249">
        <f t="shared" ref="AM39" si="728">AM38</f>
        <v>-9.6774193548387122E-2</v>
      </c>
      <c r="AN39" s="249">
        <f t="shared" ref="AN39" si="729">AN38</f>
        <v>-3.3519553072625663E-2</v>
      </c>
      <c r="AO39" s="249">
        <f t="shared" ref="AO39" si="730">AO38</f>
        <v>-1.2820512820512775E-2</v>
      </c>
      <c r="AP39" s="249">
        <f t="shared" ref="AP39" si="731">AP38</f>
        <v>5.3571428571428603E-2</v>
      </c>
      <c r="AQ39" s="249">
        <f t="shared" ref="AQ39" si="732">AQ38</f>
        <v>8.6705202312138407E-3</v>
      </c>
      <c r="AR39" s="249">
        <f t="shared" ref="AR39" si="733">AR38</f>
        <v>-3.8961038961038974E-2</v>
      </c>
      <c r="AS39" s="249">
        <f t="shared" ref="AS39" si="734">AS38</f>
        <v>8.4745762711864403E-2</v>
      </c>
      <c r="AT39" s="249">
        <f t="shared" ref="AT39" si="735">AT38</f>
        <v>2.8653295128939771E-3</v>
      </c>
      <c r="AU39" s="250">
        <f>AU38</f>
        <v>8.3529411764705852E-2</v>
      </c>
      <c r="AV39" s="250">
        <f t="shared" ref="AV39" si="736">AV38</f>
        <v>0.21410579345088165</v>
      </c>
      <c r="AW39" s="248">
        <f t="shared" ref="AW39" si="737">AW38</f>
        <v>0.12510024057738578</v>
      </c>
      <c r="AX39" s="278"/>
      <c r="AY39" s="278"/>
      <c r="AZ39" s="236"/>
      <c r="BA39" s="236"/>
      <c r="BB39" s="240"/>
      <c r="BC39" s="236"/>
      <c r="BD39" s="236"/>
      <c r="BE39" s="240"/>
      <c r="BF39" s="236"/>
      <c r="BG39" s="236"/>
      <c r="BH39" s="240"/>
      <c r="BI39" s="236"/>
      <c r="BJ39" s="236"/>
      <c r="BK39" s="240"/>
      <c r="BL39" s="236"/>
      <c r="BM39" s="236"/>
      <c r="BN39" s="240"/>
    </row>
    <row r="40" spans="1:66" x14ac:dyDescent="0.35">
      <c r="A40" s="69" t="s">
        <v>39</v>
      </c>
      <c r="B40" s="2"/>
      <c r="C40" s="2"/>
      <c r="D40" s="2"/>
      <c r="E40" s="259">
        <v>0</v>
      </c>
      <c r="F40" s="259">
        <v>0</v>
      </c>
      <c r="G40" s="260">
        <f>E40+F40</f>
        <v>0</v>
      </c>
      <c r="H40" s="259">
        <v>3</v>
      </c>
      <c r="I40" s="259">
        <v>0</v>
      </c>
      <c r="J40" s="260">
        <f>H40+I40</f>
        <v>3</v>
      </c>
      <c r="K40" s="259">
        <v>0</v>
      </c>
      <c r="L40" s="259">
        <v>0</v>
      </c>
      <c r="M40" s="260">
        <f>K40+L40</f>
        <v>0</v>
      </c>
      <c r="N40" s="259">
        <v>85</v>
      </c>
      <c r="O40" s="259">
        <v>30</v>
      </c>
      <c r="P40" s="260">
        <f>N40+O40</f>
        <v>115</v>
      </c>
      <c r="Q40" s="259">
        <v>114</v>
      </c>
      <c r="R40" s="259">
        <v>61</v>
      </c>
      <c r="S40" s="260">
        <f>Q40+R40</f>
        <v>175</v>
      </c>
      <c r="T40" s="259">
        <v>134</v>
      </c>
      <c r="U40" s="259">
        <v>96</v>
      </c>
      <c r="V40" s="260">
        <f>T40+U40</f>
        <v>230</v>
      </c>
      <c r="W40" s="259">
        <v>176</v>
      </c>
      <c r="X40" s="259">
        <v>136</v>
      </c>
      <c r="Y40" s="260">
        <f>W40+X40</f>
        <v>312</v>
      </c>
      <c r="Z40" s="259">
        <v>231</v>
      </c>
      <c r="AA40" s="259">
        <v>148</v>
      </c>
      <c r="AB40" s="260">
        <f>Z40+AA40</f>
        <v>379</v>
      </c>
      <c r="AC40" s="259">
        <v>278</v>
      </c>
      <c r="AD40" s="259">
        <v>194</v>
      </c>
      <c r="AE40" s="260">
        <f>AC40+AD40</f>
        <v>472</v>
      </c>
      <c r="AF40" s="259">
        <v>336</v>
      </c>
      <c r="AG40" s="259">
        <v>247</v>
      </c>
      <c r="AH40" s="260">
        <f>AF40+AG40</f>
        <v>583</v>
      </c>
      <c r="AI40" s="6">
        <v>126</v>
      </c>
      <c r="AJ40" s="6">
        <v>68</v>
      </c>
      <c r="AK40" s="5">
        <f>AJ40+AI40</f>
        <v>194</v>
      </c>
      <c r="AL40" s="6">
        <v>145</v>
      </c>
      <c r="AM40" s="6">
        <v>61</v>
      </c>
      <c r="AN40" s="5">
        <f>AM40+AL40</f>
        <v>206</v>
      </c>
      <c r="AO40" s="6">
        <v>147</v>
      </c>
      <c r="AP40" s="6">
        <v>73</v>
      </c>
      <c r="AQ40" s="5">
        <f>AP40+AO40</f>
        <v>220</v>
      </c>
      <c r="AR40" s="6">
        <v>148</v>
      </c>
      <c r="AS40" s="6">
        <v>93</v>
      </c>
      <c r="AT40" s="5">
        <f>AS40+AR40</f>
        <v>241</v>
      </c>
      <c r="AU40" s="259">
        <f>AI40+AL40+AO40+AR40</f>
        <v>566</v>
      </c>
      <c r="AV40" s="259">
        <f>AJ40+AM40+AP40+AS40</f>
        <v>295</v>
      </c>
      <c r="AW40" s="260">
        <f>AU40+AV40</f>
        <v>861</v>
      </c>
      <c r="AX40" s="277"/>
      <c r="AY40" s="277"/>
      <c r="AZ40" s="259">
        <f>AU40*(1+AX41)</f>
        <v>760.99299307210561</v>
      </c>
      <c r="BA40" s="259">
        <f>AV40*(1+AY41)</f>
        <v>375.59278350515461</v>
      </c>
      <c r="BB40" s="260">
        <f>AZ40+BA40</f>
        <v>1136.5857765772603</v>
      </c>
      <c r="BC40" s="259">
        <f>AZ40*(1+$AX41)</f>
        <v>1023.1631369343495</v>
      </c>
      <c r="BD40" s="259">
        <f>BA40*(1+$AY41)</f>
        <v>478.20318312254216</v>
      </c>
      <c r="BE40" s="260">
        <f>BC40+BD40</f>
        <v>1501.3663200568917</v>
      </c>
      <c r="BF40" s="259">
        <f>BC40*(1+0.1)</f>
        <v>1125.4794506277844</v>
      </c>
      <c r="BG40" s="259">
        <f>BD40*(1+$AY41)</f>
        <v>608.84632077973151</v>
      </c>
      <c r="BH40" s="260">
        <f>BF40+BG40</f>
        <v>1734.325771407516</v>
      </c>
      <c r="BI40" s="259">
        <f>BF40*(1+0.1)</f>
        <v>1238.027395690563</v>
      </c>
      <c r="BJ40" s="259">
        <f>BG40*(1+$AY41)</f>
        <v>775.18062491027672</v>
      </c>
      <c r="BK40" s="260">
        <f>BI40+BJ40</f>
        <v>2013.2080206008397</v>
      </c>
      <c r="BL40" s="259">
        <f>BI40*(1+0.1)</f>
        <v>1361.8301352596195</v>
      </c>
      <c r="BM40" s="259">
        <f>BJ40*(1+$AY41-0.1)</f>
        <v>909.43871252360282</v>
      </c>
      <c r="BN40" s="260">
        <f>BL40+BM40</f>
        <v>2271.2688477832226</v>
      </c>
    </row>
    <row r="41" spans="1:66" x14ac:dyDescent="0.35">
      <c r="A41" s="241" t="s">
        <v>28</v>
      </c>
      <c r="E41" s="53"/>
      <c r="F41" s="53"/>
      <c r="G41" s="242"/>
      <c r="H41" s="53">
        <f t="shared" ref="H41" si="738">IFERROR(H40/E40-1,0)</f>
        <v>0</v>
      </c>
      <c r="I41" s="53">
        <f t="shared" ref="I41" si="739">IFERROR(I40/F40-1,0)</f>
        <v>0</v>
      </c>
      <c r="J41" s="242">
        <f t="shared" ref="J41" si="740">IFERROR(J40/G40-1,0)</f>
        <v>0</v>
      </c>
      <c r="K41" s="53">
        <f>MAX(0,IFERROR(K40/H40-1,0))</f>
        <v>0</v>
      </c>
      <c r="L41" s="53">
        <f t="shared" ref="L41" si="741">IFERROR(L40/I40-1,0)</f>
        <v>0</v>
      </c>
      <c r="M41" s="53">
        <f t="shared" ref="M41:M42" si="742">MAX(0,IFERROR(M40/J40-1,0))</f>
        <v>0</v>
      </c>
      <c r="N41" s="53">
        <f t="shared" ref="N41" si="743">IFERROR(N40/K40-1,0)</f>
        <v>0</v>
      </c>
      <c r="O41" s="53">
        <f t="shared" ref="O41" si="744">IFERROR(O40/L40-1,0)</f>
        <v>0</v>
      </c>
      <c r="P41" s="242">
        <f t="shared" ref="P41" si="745">IFERROR(P40/M40-1,0)</f>
        <v>0</v>
      </c>
      <c r="Q41" s="53">
        <f t="shared" ref="Q41" si="746">IFERROR(Q40/N40-1,0)</f>
        <v>0.34117647058823519</v>
      </c>
      <c r="R41" s="53">
        <f t="shared" ref="R41" si="747">IFERROR(R40/O40-1,0)</f>
        <v>1.0333333333333332</v>
      </c>
      <c r="S41" s="242">
        <f t="shared" ref="S41" si="748">IFERROR(S40/P40-1,0)</f>
        <v>0.52173913043478271</v>
      </c>
      <c r="T41" s="53">
        <f t="shared" ref="T41" si="749">IFERROR(T40/Q40-1,0)</f>
        <v>0.17543859649122817</v>
      </c>
      <c r="U41" s="53">
        <f t="shared" ref="U41" si="750">IFERROR(U40/R40-1,0)</f>
        <v>0.57377049180327866</v>
      </c>
      <c r="V41" s="242">
        <f t="shared" ref="V41" si="751">IFERROR(V40/S40-1,0)</f>
        <v>0.31428571428571428</v>
      </c>
      <c r="W41" s="53">
        <f t="shared" ref="W41" si="752">IFERROR(W40/T40-1,0)</f>
        <v>0.31343283582089554</v>
      </c>
      <c r="X41" s="53">
        <f t="shared" ref="X41" si="753">IFERROR(X40/U40-1,0)</f>
        <v>0.41666666666666674</v>
      </c>
      <c r="Y41" s="242">
        <f t="shared" ref="Y41" si="754">IFERROR(Y40/V40-1,0)</f>
        <v>0.35652173913043472</v>
      </c>
      <c r="Z41" s="53">
        <f t="shared" ref="Z41" si="755">IFERROR(Z40/W40-1,0)</f>
        <v>0.3125</v>
      </c>
      <c r="AA41" s="53">
        <f t="shared" ref="AA41" si="756">IFERROR(AA40/X40-1,0)</f>
        <v>8.8235294117646967E-2</v>
      </c>
      <c r="AB41" s="242">
        <f t="shared" ref="AB41" si="757">IFERROR(AB40/Y40-1,0)</f>
        <v>0.21474358974358965</v>
      </c>
      <c r="AC41" s="53">
        <f t="shared" ref="AC41" si="758">IFERROR(AC40/Z40-1,0)</f>
        <v>0.20346320346320357</v>
      </c>
      <c r="AD41" s="53">
        <f t="shared" ref="AD41" si="759">IFERROR(AD40/AA40-1,0)</f>
        <v>0.31081081081081074</v>
      </c>
      <c r="AE41" s="242">
        <f t="shared" ref="AE41" si="760">IFERROR(AE40/AB40-1,0)</f>
        <v>0.24538258575197891</v>
      </c>
      <c r="AF41" s="53">
        <f t="shared" ref="AF41" si="761">IFERROR(AF40/AC40-1,0)</f>
        <v>0.20863309352517989</v>
      </c>
      <c r="AG41" s="53">
        <f t="shared" ref="AG41" si="762">IFERROR(AG40/AD40-1,0)</f>
        <v>0.27319587628865971</v>
      </c>
      <c r="AH41" s="242">
        <f t="shared" ref="AH41" si="763">IFERROR(AH40/AE40-1,0)</f>
        <v>0.23516949152542366</v>
      </c>
      <c r="AI41" s="53">
        <f>IFERROR(AI40/AF40-1,0)</f>
        <v>-0.625</v>
      </c>
      <c r="AJ41" s="53">
        <f t="shared" ref="AJ41:AK41" si="764">IFERROR(AJ40/AG40-1,0)</f>
        <v>-0.72469635627530371</v>
      </c>
      <c r="AK41" s="242">
        <f t="shared" si="764"/>
        <v>-0.66723842195540306</v>
      </c>
      <c r="AL41" s="53">
        <f t="shared" ref="AL41" si="765">IFERROR(AL40/AI40-1,0)</f>
        <v>0.1507936507936507</v>
      </c>
      <c r="AM41" s="53">
        <f t="shared" ref="AM41:AN41" si="766">IFERROR(AM40/AJ40-1,0)</f>
        <v>-0.1029411764705882</v>
      </c>
      <c r="AN41" s="242">
        <f t="shared" si="766"/>
        <v>6.1855670103092786E-2</v>
      </c>
      <c r="AO41" s="53">
        <f t="shared" ref="AO41" si="767">IFERROR(AO40/AL40-1,0)</f>
        <v>1.379310344827589E-2</v>
      </c>
      <c r="AP41" s="53">
        <f t="shared" ref="AP41" si="768">IFERROR(AP40/AM40-1,0)</f>
        <v>0.19672131147540983</v>
      </c>
      <c r="AQ41" s="242">
        <f t="shared" ref="AQ41:AT41" si="769">IFERROR(AQ40/AN40-1,0)</f>
        <v>6.7961165048543659E-2</v>
      </c>
      <c r="AR41" s="53">
        <f t="shared" ref="AR41" si="770">IFERROR(AR40/AO40-1,0)</f>
        <v>6.8027210884353817E-3</v>
      </c>
      <c r="AS41" s="53">
        <f t="shared" si="769"/>
        <v>0.27397260273972601</v>
      </c>
      <c r="AT41" s="242">
        <f t="shared" si="769"/>
        <v>9.5454545454545459E-2</v>
      </c>
      <c r="AU41" s="283">
        <f>IFERROR(AU40/AF40-1,0)</f>
        <v>0.68452380952380953</v>
      </c>
      <c r="AV41" s="283">
        <f t="shared" ref="AV41" si="771">IFERROR(AV40/AG40-1,0)</f>
        <v>0.19433198380566807</v>
      </c>
      <c r="AW41" s="242">
        <f>IFERROR(AW40/AH40-1,0)</f>
        <v>0.47684391080617505</v>
      </c>
      <c r="AX41" s="210">
        <f>AVERAGE(W41,Z41,AC41,AF41,AU41)</f>
        <v>0.3445105884666177</v>
      </c>
      <c r="AY41" s="210">
        <f>MEDIAN(X41,AA41,AD41,AG41,AV41)</f>
        <v>0.27319587628865971</v>
      </c>
      <c r="AZ41" s="236"/>
      <c r="BA41" s="236"/>
      <c r="BB41" s="240"/>
      <c r="BC41" s="236"/>
      <c r="BD41" s="236"/>
      <c r="BE41" s="240"/>
      <c r="BF41" s="236"/>
      <c r="BG41" s="236"/>
      <c r="BH41" s="240"/>
      <c r="BI41" s="236"/>
      <c r="BJ41" s="236"/>
      <c r="BK41" s="240"/>
      <c r="BL41" s="236"/>
      <c r="BM41" s="236"/>
      <c r="BN41" s="240"/>
    </row>
    <row r="42" spans="1:66" x14ac:dyDescent="0.35">
      <c r="A42" s="244" t="s">
        <v>29</v>
      </c>
      <c r="E42" s="236"/>
      <c r="F42" s="236"/>
      <c r="G42" s="240"/>
      <c r="H42" s="247">
        <f>H41</f>
        <v>0</v>
      </c>
      <c r="I42" s="247">
        <f t="shared" ref="I42" si="772">I41</f>
        <v>0</v>
      </c>
      <c r="J42" s="248">
        <f t="shared" ref="J42" si="773">J41</f>
        <v>0</v>
      </c>
      <c r="K42" s="247">
        <f t="shared" ref="K42" si="774">K41</f>
        <v>0</v>
      </c>
      <c r="L42" s="247">
        <f t="shared" ref="L42" si="775">L41</f>
        <v>0</v>
      </c>
      <c r="M42" s="53">
        <f t="shared" si="742"/>
        <v>0</v>
      </c>
      <c r="N42" s="247">
        <f t="shared" ref="N42" si="776">N41</f>
        <v>0</v>
      </c>
      <c r="O42" s="247">
        <f t="shared" ref="O42" si="777">O41</f>
        <v>0</v>
      </c>
      <c r="P42" s="248">
        <f t="shared" ref="P42" si="778">P41</f>
        <v>0</v>
      </c>
      <c r="Q42" s="247">
        <f t="shared" ref="Q42" si="779">Q41</f>
        <v>0.34117647058823519</v>
      </c>
      <c r="R42" s="247">
        <f t="shared" ref="R42" si="780">R41</f>
        <v>1.0333333333333332</v>
      </c>
      <c r="S42" s="248">
        <f t="shared" ref="S42" si="781">S41</f>
        <v>0.52173913043478271</v>
      </c>
      <c r="T42" s="247">
        <f t="shared" ref="T42" si="782">T41</f>
        <v>0.17543859649122817</v>
      </c>
      <c r="U42" s="247">
        <f t="shared" ref="U42" si="783">U41</f>
        <v>0.57377049180327866</v>
      </c>
      <c r="V42" s="248">
        <f t="shared" ref="V42" si="784">V41</f>
        <v>0.31428571428571428</v>
      </c>
      <c r="W42" s="247">
        <f t="shared" ref="W42" si="785">W41</f>
        <v>0.31343283582089554</v>
      </c>
      <c r="X42" s="247">
        <f t="shared" ref="X42" si="786">X41</f>
        <v>0.41666666666666674</v>
      </c>
      <c r="Y42" s="248">
        <f t="shared" ref="Y42" si="787">Y41</f>
        <v>0.35652173913043472</v>
      </c>
      <c r="Z42" s="247">
        <f t="shared" ref="Z42" si="788">Z41</f>
        <v>0.3125</v>
      </c>
      <c r="AA42" s="247">
        <f t="shared" ref="AA42" si="789">AA41</f>
        <v>8.8235294117646967E-2</v>
      </c>
      <c r="AB42" s="248">
        <f t="shared" ref="AB42" si="790">AB41</f>
        <v>0.21474358974358965</v>
      </c>
      <c r="AC42" s="247">
        <f t="shared" ref="AC42" si="791">AC41</f>
        <v>0.20346320346320357</v>
      </c>
      <c r="AD42" s="247">
        <f t="shared" ref="AD42" si="792">AD41</f>
        <v>0.31081081081081074</v>
      </c>
      <c r="AE42" s="248">
        <f t="shared" ref="AE42" si="793">AE41</f>
        <v>0.24538258575197891</v>
      </c>
      <c r="AF42" s="247">
        <f t="shared" ref="AF42" si="794">AF41</f>
        <v>0.20863309352517989</v>
      </c>
      <c r="AG42" s="247">
        <f t="shared" ref="AG42" si="795">AG41</f>
        <v>0.27319587628865971</v>
      </c>
      <c r="AH42" s="248">
        <f t="shared" ref="AH42" si="796">AH41</f>
        <v>0.23516949152542366</v>
      </c>
      <c r="AI42" s="249">
        <f>AI41</f>
        <v>-0.625</v>
      </c>
      <c r="AJ42" s="249">
        <f t="shared" ref="AJ42" si="797">AJ41</f>
        <v>-0.72469635627530371</v>
      </c>
      <c r="AK42" s="249">
        <f t="shared" ref="AK42" si="798">AK41</f>
        <v>-0.66723842195540306</v>
      </c>
      <c r="AL42" s="249">
        <f t="shared" ref="AL42" si="799">AL41</f>
        <v>0.1507936507936507</v>
      </c>
      <c r="AM42" s="249">
        <f t="shared" ref="AM42" si="800">AM41</f>
        <v>-0.1029411764705882</v>
      </c>
      <c r="AN42" s="249">
        <f t="shared" ref="AN42" si="801">AN41</f>
        <v>6.1855670103092786E-2</v>
      </c>
      <c r="AO42" s="249">
        <f t="shared" ref="AO42" si="802">AO41</f>
        <v>1.379310344827589E-2</v>
      </c>
      <c r="AP42" s="249">
        <f t="shared" ref="AP42" si="803">AP41</f>
        <v>0.19672131147540983</v>
      </c>
      <c r="AQ42" s="249">
        <f t="shared" ref="AQ42" si="804">AQ41</f>
        <v>6.7961165048543659E-2</v>
      </c>
      <c r="AR42" s="249">
        <f t="shared" ref="AR42" si="805">AR41</f>
        <v>6.8027210884353817E-3</v>
      </c>
      <c r="AS42" s="249">
        <f t="shared" ref="AS42" si="806">AS41</f>
        <v>0.27397260273972601</v>
      </c>
      <c r="AT42" s="249">
        <f t="shared" ref="AT42" si="807">AT41</f>
        <v>9.5454545454545459E-2</v>
      </c>
      <c r="AU42" s="250">
        <f>AU41</f>
        <v>0.68452380952380953</v>
      </c>
      <c r="AV42" s="250">
        <f t="shared" ref="AV42" si="808">AV41</f>
        <v>0.19433198380566807</v>
      </c>
      <c r="AW42" s="248">
        <f t="shared" ref="AW42" si="809">AW41</f>
        <v>0.47684391080617505</v>
      </c>
      <c r="AX42" s="278"/>
      <c r="AY42" s="278"/>
      <c r="AZ42" s="236"/>
      <c r="BA42" s="236"/>
      <c r="BB42" s="240"/>
      <c r="BC42" s="236"/>
      <c r="BD42" s="236"/>
      <c r="BE42" s="240"/>
      <c r="BF42" s="236"/>
      <c r="BG42" s="236"/>
      <c r="BH42" s="240"/>
      <c r="BI42" s="236"/>
      <c r="BJ42" s="236"/>
      <c r="BK42" s="240"/>
      <c r="BL42" s="236"/>
      <c r="BM42" s="236"/>
      <c r="BN42" s="240"/>
    </row>
    <row r="43" spans="1:66" x14ac:dyDescent="0.35">
      <c r="A43" s="69" t="s">
        <v>0</v>
      </c>
      <c r="B43" s="2"/>
      <c r="C43" s="2"/>
      <c r="D43" s="2"/>
      <c r="E43" s="259">
        <v>0</v>
      </c>
      <c r="F43" s="259">
        <v>0</v>
      </c>
      <c r="G43" s="260">
        <f>E43+F43</f>
        <v>0</v>
      </c>
      <c r="H43" s="259">
        <v>0</v>
      </c>
      <c r="I43" s="259">
        <v>0</v>
      </c>
      <c r="J43" s="260">
        <f>H43+I43</f>
        <v>0</v>
      </c>
      <c r="K43" s="259">
        <v>0</v>
      </c>
      <c r="L43" s="259">
        <v>0</v>
      </c>
      <c r="M43" s="260">
        <f>K43+L43</f>
        <v>0</v>
      </c>
      <c r="N43" s="259">
        <v>101</v>
      </c>
      <c r="O43" s="259">
        <v>40</v>
      </c>
      <c r="P43" s="260">
        <f>N43+O43</f>
        <v>141</v>
      </c>
      <c r="Q43" s="259">
        <v>225</v>
      </c>
      <c r="R43" s="259">
        <v>94</v>
      </c>
      <c r="S43" s="260">
        <f>Q43+R43</f>
        <v>319</v>
      </c>
      <c r="T43" s="259">
        <v>358</v>
      </c>
      <c r="U43" s="259">
        <v>192</v>
      </c>
      <c r="V43" s="260">
        <f>T43+U43</f>
        <v>550</v>
      </c>
      <c r="W43" s="259">
        <v>376</v>
      </c>
      <c r="X43" s="259">
        <v>285</v>
      </c>
      <c r="Y43" s="260">
        <f>W43+X43</f>
        <v>661</v>
      </c>
      <c r="Z43" s="259">
        <v>459</v>
      </c>
      <c r="AA43" s="259">
        <v>428</v>
      </c>
      <c r="AB43" s="260">
        <f>Z43+AA43</f>
        <v>887</v>
      </c>
      <c r="AC43" s="259">
        <v>557</v>
      </c>
      <c r="AD43" s="259">
        <v>560</v>
      </c>
      <c r="AE43" s="260">
        <f>AC43+AD43</f>
        <v>1117</v>
      </c>
      <c r="AF43" s="259">
        <v>608</v>
      </c>
      <c r="AG43" s="259">
        <v>688</v>
      </c>
      <c r="AH43" s="260">
        <f>AF43+AG43</f>
        <v>1296</v>
      </c>
      <c r="AI43" s="6">
        <v>197</v>
      </c>
      <c r="AJ43" s="6">
        <v>191</v>
      </c>
      <c r="AK43" s="5">
        <f>AJ43+AI43</f>
        <v>388</v>
      </c>
      <c r="AL43" s="6">
        <v>212</v>
      </c>
      <c r="AM43" s="6">
        <v>212</v>
      </c>
      <c r="AN43" s="5">
        <f>AM43+AL43</f>
        <v>424</v>
      </c>
      <c r="AO43" s="6">
        <v>183</v>
      </c>
      <c r="AP43" s="6">
        <v>223</v>
      </c>
      <c r="AQ43" s="5">
        <f>AP43+AO43</f>
        <v>406</v>
      </c>
      <c r="AR43" s="6">
        <v>201</v>
      </c>
      <c r="AS43" s="6">
        <v>216</v>
      </c>
      <c r="AT43" s="5">
        <f>AS43+AR43</f>
        <v>417</v>
      </c>
      <c r="AU43" s="259">
        <f>AI43+AL43+AO43+AR43</f>
        <v>793</v>
      </c>
      <c r="AV43" s="259">
        <f>AJ43+AM43+AP43+AS43</f>
        <v>842</v>
      </c>
      <c r="AW43" s="260">
        <f>AU43+AV43</f>
        <v>1635</v>
      </c>
      <c r="AX43" s="277"/>
      <c r="AY43" s="277"/>
      <c r="AZ43" s="259">
        <f>AU43*(1+AX44)</f>
        <v>965.18103937792614</v>
      </c>
      <c r="BA43" s="259">
        <f>AV43*(1+AY44)</f>
        <v>1101.6822429906542</v>
      </c>
      <c r="BB43" s="260">
        <f>AZ43+BA43</f>
        <v>2066.8632823685803</v>
      </c>
      <c r="BC43" s="259">
        <f>AZ43*(1+$AX44-0.1)</f>
        <v>1078.2289815283532</v>
      </c>
      <c r="BD43" s="259">
        <f>BA43*(1+0.08)</f>
        <v>1189.8168224299066</v>
      </c>
      <c r="BE43" s="260">
        <f>BC43+BD43</f>
        <v>2268.04580395826</v>
      </c>
      <c r="BF43" s="259">
        <f>BC43*(1+0.09)</f>
        <v>1175.2695898659051</v>
      </c>
      <c r="BG43" s="259">
        <f>BD43*(1+0.08)</f>
        <v>1285.0021682242991</v>
      </c>
      <c r="BH43" s="260">
        <f>BF43+BG43</f>
        <v>2460.2717580902045</v>
      </c>
      <c r="BI43" s="259">
        <f>BF43*(1+0.02)</f>
        <v>1198.7749816632233</v>
      </c>
      <c r="BJ43" s="259">
        <f>BG43*(1+0.08)</f>
        <v>1387.8023416822432</v>
      </c>
      <c r="BK43" s="260">
        <f>BI43+BJ43</f>
        <v>2586.5773233454665</v>
      </c>
      <c r="BL43" s="259">
        <f>BI43*(1+0.02)</f>
        <v>1222.7504812964878</v>
      </c>
      <c r="BM43" s="259">
        <f>BJ43*(1+0.08)</f>
        <v>1498.8265290168229</v>
      </c>
      <c r="BN43" s="260">
        <f>BL43+BM43</f>
        <v>2721.5770103133109</v>
      </c>
    </row>
    <row r="44" spans="1:66" x14ac:dyDescent="0.35">
      <c r="A44" s="241" t="s">
        <v>28</v>
      </c>
      <c r="E44" s="53"/>
      <c r="F44" s="53"/>
      <c r="G44" s="242"/>
      <c r="H44" s="53">
        <f t="shared" ref="H44" si="810">IFERROR(H43/E43-1,0)</f>
        <v>0</v>
      </c>
      <c r="I44" s="53">
        <f t="shared" ref="I44" si="811">IFERROR(I43/F43-1,0)</f>
        <v>0</v>
      </c>
      <c r="J44" s="242">
        <f t="shared" ref="J44" si="812">IFERROR(J43/G43-1,0)</f>
        <v>0</v>
      </c>
      <c r="K44" s="53">
        <f>IFERROR(K43/H43-1,0)</f>
        <v>0</v>
      </c>
      <c r="L44" s="53">
        <f t="shared" ref="L44" si="813">IFERROR(L43/I43-1,0)</f>
        <v>0</v>
      </c>
      <c r="M44" s="242">
        <f t="shared" ref="M44" si="814">IFERROR(M43/J43-1,0)</f>
        <v>0</v>
      </c>
      <c r="N44" s="53">
        <f t="shared" ref="N44" si="815">IFERROR(N43/K43-1,0)</f>
        <v>0</v>
      </c>
      <c r="O44" s="53">
        <f t="shared" ref="O44" si="816">IFERROR(O43/L43-1,0)</f>
        <v>0</v>
      </c>
      <c r="P44" s="242">
        <f t="shared" ref="P44" si="817">IFERROR(P43/M43-1,0)</f>
        <v>0</v>
      </c>
      <c r="Q44" s="53">
        <f t="shared" ref="Q44" si="818">IFERROR(Q43/N43-1,0)</f>
        <v>1.2277227722772279</v>
      </c>
      <c r="R44" s="53">
        <f t="shared" ref="R44" si="819">IFERROR(R43/O43-1,0)</f>
        <v>1.35</v>
      </c>
      <c r="S44" s="242">
        <f t="shared" ref="S44" si="820">IFERROR(S43/P43-1,0)</f>
        <v>1.2624113475177303</v>
      </c>
      <c r="T44" s="53">
        <f t="shared" ref="T44" si="821">IFERROR(T43/Q43-1,0)</f>
        <v>0.59111111111111114</v>
      </c>
      <c r="U44" s="53">
        <f t="shared" ref="U44" si="822">IFERROR(U43/R43-1,0)</f>
        <v>1.0425531914893615</v>
      </c>
      <c r="V44" s="242">
        <f t="shared" ref="V44" si="823">IFERROR(V43/S43-1,0)</f>
        <v>0.72413793103448265</v>
      </c>
      <c r="W44" s="53">
        <f t="shared" ref="W44" si="824">IFERROR(W43/T43-1,0)</f>
        <v>5.027932960893855E-2</v>
      </c>
      <c r="X44" s="53">
        <f t="shared" ref="X44" si="825">IFERROR(X43/U43-1,0)</f>
        <v>0.484375</v>
      </c>
      <c r="Y44" s="242">
        <f t="shared" ref="Y44" si="826">IFERROR(Y43/V43-1,0)</f>
        <v>0.2018181818181819</v>
      </c>
      <c r="Z44" s="53">
        <f t="shared" ref="Z44" si="827">IFERROR(Z43/W43-1,0)</f>
        <v>0.2207446808510638</v>
      </c>
      <c r="AA44" s="53">
        <f t="shared" ref="AA44" si="828">IFERROR(AA43/X43-1,0)</f>
        <v>0.50175438596491229</v>
      </c>
      <c r="AB44" s="242">
        <f t="shared" ref="AB44" si="829">IFERROR(AB43/Y43-1,0)</f>
        <v>0.34190620272314676</v>
      </c>
      <c r="AC44" s="53">
        <f t="shared" ref="AC44" si="830">IFERROR(AC43/Z43-1,0)</f>
        <v>0.21350762527233114</v>
      </c>
      <c r="AD44" s="53">
        <f t="shared" ref="AD44" si="831">IFERROR(AD43/AA43-1,0)</f>
        <v>0.30841121495327095</v>
      </c>
      <c r="AE44" s="242">
        <f t="shared" ref="AE44" si="832">IFERROR(AE43/AB43-1,0)</f>
        <v>0.2593010146561443</v>
      </c>
      <c r="AF44" s="53">
        <f t="shared" ref="AF44" si="833">IFERROR(AF43/AC43-1,0)</f>
        <v>9.1561938958707456E-2</v>
      </c>
      <c r="AG44" s="53">
        <f t="shared" ref="AG44" si="834">IFERROR(AG43/AD43-1,0)</f>
        <v>0.22857142857142865</v>
      </c>
      <c r="AH44" s="242">
        <f t="shared" ref="AH44" si="835">IFERROR(AH43/AE43-1,0)</f>
        <v>0.16025067144136074</v>
      </c>
      <c r="AI44" s="53">
        <f>IFERROR(AI43/AF43-1,0)</f>
        <v>-0.67598684210526316</v>
      </c>
      <c r="AJ44" s="53">
        <f t="shared" ref="AJ44:AK44" si="836">IFERROR(AJ43/AG43-1,0)</f>
        <v>-0.72238372093023262</v>
      </c>
      <c r="AK44" s="242">
        <f t="shared" si="836"/>
        <v>-0.70061728395061729</v>
      </c>
      <c r="AL44" s="53">
        <f t="shared" ref="AL44" si="837">IFERROR(AL43/AI43-1,0)</f>
        <v>7.6142131979695327E-2</v>
      </c>
      <c r="AM44" s="53">
        <f t="shared" ref="AM44:AN44" si="838">IFERROR(AM43/AJ43-1,0)</f>
        <v>0.10994764397905765</v>
      </c>
      <c r="AN44" s="242">
        <f t="shared" si="838"/>
        <v>9.2783505154639068E-2</v>
      </c>
      <c r="AO44" s="53">
        <f t="shared" ref="AO44" si="839">IFERROR(AO43/AL43-1,0)</f>
        <v>-0.1367924528301887</v>
      </c>
      <c r="AP44" s="53">
        <f t="shared" ref="AP44" si="840">IFERROR(AP43/AM43-1,0)</f>
        <v>5.1886792452830122E-2</v>
      </c>
      <c r="AQ44" s="242">
        <f t="shared" ref="AQ44:AT44" si="841">IFERROR(AQ43/AN43-1,0)</f>
        <v>-4.2452830188679291E-2</v>
      </c>
      <c r="AR44" s="53">
        <f t="shared" ref="AR44" si="842">IFERROR(AR43/AO43-1,0)</f>
        <v>9.8360655737705027E-2</v>
      </c>
      <c r="AS44" s="53">
        <f t="shared" si="841"/>
        <v>-3.1390134529147962E-2</v>
      </c>
      <c r="AT44" s="242">
        <f t="shared" si="841"/>
        <v>2.7093596059113212E-2</v>
      </c>
      <c r="AU44" s="283">
        <f>IFERROR(AU43/AF43-1,0)</f>
        <v>0.30427631578947367</v>
      </c>
      <c r="AV44" s="283">
        <f t="shared" ref="AV44" si="843">IFERROR(AV43/AG43-1,0)</f>
        <v>0.22383720930232553</v>
      </c>
      <c r="AW44" s="242">
        <f>IFERROR(AW43/AH43-1,0)</f>
        <v>0.26157407407407418</v>
      </c>
      <c r="AX44" s="210">
        <f>MEDIAN(W44,Z44,AC44,AF44,AU44,Q44)</f>
        <v>0.21712615306169747</v>
      </c>
      <c r="AY44" s="210">
        <f>MEDIAN(X44,AA44,AD44,AG44,AV44)</f>
        <v>0.30841121495327095</v>
      </c>
      <c r="AZ44" s="236"/>
      <c r="BA44" s="236"/>
      <c r="BB44" s="240"/>
      <c r="BC44" s="236"/>
      <c r="BD44" s="236"/>
      <c r="BE44" s="240"/>
      <c r="BF44" s="236"/>
      <c r="BG44" s="236"/>
      <c r="BH44" s="240"/>
      <c r="BI44" s="236"/>
      <c r="BJ44" s="236"/>
      <c r="BK44" s="240"/>
      <c r="BL44" s="236"/>
      <c r="BM44" s="236"/>
      <c r="BN44" s="240"/>
    </row>
    <row r="45" spans="1:66" x14ac:dyDescent="0.35">
      <c r="A45" s="244" t="s">
        <v>29</v>
      </c>
      <c r="E45" s="236"/>
      <c r="F45" s="236"/>
      <c r="G45" s="240"/>
      <c r="H45" s="247">
        <f>H44</f>
        <v>0</v>
      </c>
      <c r="I45" s="247">
        <f t="shared" ref="I45" si="844">I44</f>
        <v>0</v>
      </c>
      <c r="J45" s="248">
        <f t="shared" ref="J45" si="845">J44</f>
        <v>0</v>
      </c>
      <c r="K45" s="247">
        <f t="shared" ref="K45" si="846">K44</f>
        <v>0</v>
      </c>
      <c r="L45" s="247">
        <f t="shared" ref="L45" si="847">L44</f>
        <v>0</v>
      </c>
      <c r="M45" s="248">
        <f t="shared" ref="M45" si="848">M44</f>
        <v>0</v>
      </c>
      <c r="N45" s="247">
        <f t="shared" ref="N45" si="849">N44</f>
        <v>0</v>
      </c>
      <c r="O45" s="247">
        <f t="shared" ref="O45" si="850">O44</f>
        <v>0</v>
      </c>
      <c r="P45" s="248">
        <f t="shared" ref="P45" si="851">P44</f>
        <v>0</v>
      </c>
      <c r="Q45" s="247">
        <f t="shared" ref="Q45" si="852">Q44</f>
        <v>1.2277227722772279</v>
      </c>
      <c r="R45" s="247">
        <f t="shared" ref="R45" si="853">R44</f>
        <v>1.35</v>
      </c>
      <c r="S45" s="248">
        <f t="shared" ref="S45" si="854">S44</f>
        <v>1.2624113475177303</v>
      </c>
      <c r="T45" s="247">
        <f t="shared" ref="T45" si="855">T44</f>
        <v>0.59111111111111114</v>
      </c>
      <c r="U45" s="247">
        <f t="shared" ref="U45" si="856">U44</f>
        <v>1.0425531914893615</v>
      </c>
      <c r="V45" s="248">
        <f t="shared" ref="V45" si="857">V44</f>
        <v>0.72413793103448265</v>
      </c>
      <c r="W45" s="247">
        <f t="shared" ref="W45" si="858">W44</f>
        <v>5.027932960893855E-2</v>
      </c>
      <c r="X45" s="247">
        <f t="shared" ref="X45" si="859">X44</f>
        <v>0.484375</v>
      </c>
      <c r="Y45" s="248">
        <f t="shared" ref="Y45" si="860">Y44</f>
        <v>0.2018181818181819</v>
      </c>
      <c r="Z45" s="247">
        <f t="shared" ref="Z45" si="861">Z44</f>
        <v>0.2207446808510638</v>
      </c>
      <c r="AA45" s="247">
        <f t="shared" ref="AA45" si="862">AA44</f>
        <v>0.50175438596491229</v>
      </c>
      <c r="AB45" s="248">
        <f t="shared" ref="AB45" si="863">AB44</f>
        <v>0.34190620272314676</v>
      </c>
      <c r="AC45" s="247">
        <f t="shared" ref="AC45" si="864">AC44</f>
        <v>0.21350762527233114</v>
      </c>
      <c r="AD45" s="247">
        <f t="shared" ref="AD45" si="865">AD44</f>
        <v>0.30841121495327095</v>
      </c>
      <c r="AE45" s="248">
        <f t="shared" ref="AE45" si="866">AE44</f>
        <v>0.2593010146561443</v>
      </c>
      <c r="AF45" s="247">
        <f t="shared" ref="AF45" si="867">AF44</f>
        <v>9.1561938958707456E-2</v>
      </c>
      <c r="AG45" s="247">
        <f t="shared" ref="AG45" si="868">AG44</f>
        <v>0.22857142857142865</v>
      </c>
      <c r="AH45" s="248">
        <f t="shared" ref="AH45" si="869">AH44</f>
        <v>0.16025067144136074</v>
      </c>
      <c r="AI45" s="249">
        <f>AI44</f>
        <v>-0.67598684210526316</v>
      </c>
      <c r="AJ45" s="249">
        <f t="shared" ref="AJ45" si="870">AJ44</f>
        <v>-0.72238372093023262</v>
      </c>
      <c r="AK45" s="249">
        <f t="shared" ref="AK45" si="871">AK44</f>
        <v>-0.70061728395061729</v>
      </c>
      <c r="AL45" s="249">
        <f t="shared" ref="AL45" si="872">AL44</f>
        <v>7.6142131979695327E-2</v>
      </c>
      <c r="AM45" s="249">
        <f t="shared" ref="AM45" si="873">AM44</f>
        <v>0.10994764397905765</v>
      </c>
      <c r="AN45" s="249">
        <f t="shared" ref="AN45" si="874">AN44</f>
        <v>9.2783505154639068E-2</v>
      </c>
      <c r="AO45" s="249">
        <f t="shared" ref="AO45" si="875">AO44</f>
        <v>-0.1367924528301887</v>
      </c>
      <c r="AP45" s="249">
        <f t="shared" ref="AP45" si="876">AP44</f>
        <v>5.1886792452830122E-2</v>
      </c>
      <c r="AQ45" s="249">
        <f t="shared" ref="AQ45" si="877">AQ44</f>
        <v>-4.2452830188679291E-2</v>
      </c>
      <c r="AR45" s="249">
        <f t="shared" ref="AR45" si="878">AR44</f>
        <v>9.8360655737705027E-2</v>
      </c>
      <c r="AS45" s="249">
        <f t="shared" ref="AS45" si="879">AS44</f>
        <v>-3.1390134529147962E-2</v>
      </c>
      <c r="AT45" s="249">
        <f t="shared" ref="AT45" si="880">AT44</f>
        <v>2.7093596059113212E-2</v>
      </c>
      <c r="AU45" s="250">
        <f>AU44</f>
        <v>0.30427631578947367</v>
      </c>
      <c r="AV45" s="250">
        <f t="shared" ref="AV45" si="881">AV44</f>
        <v>0.22383720930232553</v>
      </c>
      <c r="AW45" s="248">
        <f t="shared" ref="AW45" si="882">AW44</f>
        <v>0.26157407407407418</v>
      </c>
      <c r="AX45" s="278"/>
      <c r="AY45" s="278"/>
      <c r="AZ45" s="236"/>
      <c r="BA45" s="236"/>
      <c r="BB45" s="240"/>
      <c r="BC45" s="236"/>
      <c r="BD45" s="236"/>
      <c r="BE45" s="240"/>
      <c r="BF45" s="236"/>
      <c r="BG45" s="236"/>
      <c r="BH45" s="240"/>
      <c r="BI45" s="236"/>
      <c r="BJ45" s="236"/>
      <c r="BK45" s="240"/>
      <c r="BL45" s="236"/>
      <c r="BM45" s="236"/>
      <c r="BN45" s="240"/>
    </row>
    <row r="46" spans="1:66" x14ac:dyDescent="0.35">
      <c r="A46" s="69" t="s">
        <v>42</v>
      </c>
      <c r="B46" s="2"/>
      <c r="C46" s="2"/>
      <c r="D46" s="2"/>
      <c r="E46" s="259">
        <v>0</v>
      </c>
      <c r="F46" s="259">
        <v>0</v>
      </c>
      <c r="G46" s="260">
        <f>E46+F46</f>
        <v>0</v>
      </c>
      <c r="H46" s="259">
        <v>0</v>
      </c>
      <c r="I46" s="259">
        <v>0</v>
      </c>
      <c r="J46" s="260">
        <f>H46+I46</f>
        <v>0</v>
      </c>
      <c r="K46" s="259">
        <v>0</v>
      </c>
      <c r="L46" s="259">
        <v>0</v>
      </c>
      <c r="M46" s="260">
        <f>K46+L46</f>
        <v>0</v>
      </c>
      <c r="N46" s="259">
        <v>0</v>
      </c>
      <c r="O46" s="259">
        <v>0</v>
      </c>
      <c r="P46" s="260">
        <f>N46+O46</f>
        <v>0</v>
      </c>
      <c r="Q46" s="259">
        <v>0</v>
      </c>
      <c r="R46" s="259">
        <v>0</v>
      </c>
      <c r="S46" s="260">
        <f>Q46+R46</f>
        <v>0</v>
      </c>
      <c r="T46" s="259">
        <v>0</v>
      </c>
      <c r="U46" s="259">
        <v>0</v>
      </c>
      <c r="V46" s="260">
        <f>T46+U46</f>
        <v>0</v>
      </c>
      <c r="W46" s="259">
        <v>0</v>
      </c>
      <c r="X46" s="259">
        <v>0</v>
      </c>
      <c r="Y46" s="260">
        <f>W46+X46</f>
        <v>0</v>
      </c>
      <c r="Z46" s="259">
        <v>0</v>
      </c>
      <c r="AA46" s="259">
        <v>0</v>
      </c>
      <c r="AB46" s="260">
        <f>Z46+AA46</f>
        <v>0</v>
      </c>
      <c r="AC46" s="259">
        <v>0</v>
      </c>
      <c r="AD46" s="259">
        <v>0</v>
      </c>
      <c r="AE46" s="260">
        <f>AC46+AD46</f>
        <v>0</v>
      </c>
      <c r="AF46" s="259">
        <v>16</v>
      </c>
      <c r="AG46" s="259">
        <v>5</v>
      </c>
      <c r="AH46" s="260">
        <f>AF46+AG46</f>
        <v>21</v>
      </c>
      <c r="AI46" s="6">
        <v>23</v>
      </c>
      <c r="AJ46" s="6">
        <v>0</v>
      </c>
      <c r="AK46" s="5">
        <f>AJ46+AI46</f>
        <v>23</v>
      </c>
      <c r="AL46" s="6">
        <v>29</v>
      </c>
      <c r="AM46" s="6">
        <v>1</v>
      </c>
      <c r="AN46" s="5">
        <f>AM46+AL46</f>
        <v>30</v>
      </c>
      <c r="AO46" s="6">
        <v>32</v>
      </c>
      <c r="AP46" s="6">
        <v>5</v>
      </c>
      <c r="AQ46" s="5">
        <f>AP46+AO46</f>
        <v>37</v>
      </c>
      <c r="AR46" s="6">
        <v>42</v>
      </c>
      <c r="AS46" s="6">
        <v>2</v>
      </c>
      <c r="AT46" s="5">
        <f>AS46+AR46</f>
        <v>44</v>
      </c>
      <c r="AU46" s="259">
        <f>AI46+AL46+AO46+AR46</f>
        <v>126</v>
      </c>
      <c r="AV46" s="259">
        <f>AJ46+AM46+AP46+AS46</f>
        <v>8</v>
      </c>
      <c r="AW46" s="260">
        <f>AU46+AV46</f>
        <v>134</v>
      </c>
      <c r="AX46" s="277"/>
      <c r="AY46" s="277"/>
      <c r="AZ46" s="259">
        <f>AU46*(1+AX47)</f>
        <v>144.89999999999998</v>
      </c>
      <c r="BA46" s="259">
        <f>AV46*(1+AY47)</f>
        <v>9.1999999999999993</v>
      </c>
      <c r="BB46" s="260">
        <f>AZ46+BA46</f>
        <v>154.09999999999997</v>
      </c>
      <c r="BC46" s="259">
        <f>AZ46*(1+$AX47)</f>
        <v>166.63499999999996</v>
      </c>
      <c r="BD46" s="259">
        <f>BA46*(1+$AY47)</f>
        <v>10.579999999999998</v>
      </c>
      <c r="BE46" s="260">
        <f>BC46+BD46</f>
        <v>177.21499999999997</v>
      </c>
      <c r="BF46" s="259">
        <f>BC46*(1+$AX47)</f>
        <v>191.63024999999993</v>
      </c>
      <c r="BG46" s="259">
        <f>BD46*(1+$AY47)</f>
        <v>12.166999999999996</v>
      </c>
      <c r="BH46" s="260">
        <f>BF46+BG46</f>
        <v>203.79724999999993</v>
      </c>
      <c r="BI46" s="259">
        <f>BF46*(1+$AX47)</f>
        <v>220.37478749999991</v>
      </c>
      <c r="BJ46" s="259">
        <f>BG46*(1+$AY47)</f>
        <v>13.992049999999995</v>
      </c>
      <c r="BK46" s="260">
        <f>BI46+BJ46</f>
        <v>234.36683749999992</v>
      </c>
      <c r="BL46" s="259">
        <f>BI46*(1+$AX47)</f>
        <v>253.43100562499987</v>
      </c>
      <c r="BM46" s="259">
        <f>BJ46*(1+$AY47)</f>
        <v>16.090857499999995</v>
      </c>
      <c r="BN46" s="260">
        <f>BL46+BM46</f>
        <v>269.52186312499987</v>
      </c>
    </row>
    <row r="47" spans="1:66" x14ac:dyDescent="0.35">
      <c r="A47" s="241" t="s">
        <v>28</v>
      </c>
      <c r="E47" s="53"/>
      <c r="F47" s="53"/>
      <c r="G47" s="242"/>
      <c r="H47" s="53">
        <f t="shared" ref="H47" si="883">IFERROR(H46/E46-1,0)</f>
        <v>0</v>
      </c>
      <c r="I47" s="53">
        <f t="shared" ref="I47" si="884">IFERROR(I46/F46-1,0)</f>
        <v>0</v>
      </c>
      <c r="J47" s="242">
        <f t="shared" ref="J47" si="885">IFERROR(J46/G46-1,0)</f>
        <v>0</v>
      </c>
      <c r="K47" s="53">
        <f>IFERROR(K46/H46-1,0)</f>
        <v>0</v>
      </c>
      <c r="L47" s="53">
        <f t="shared" ref="L47" si="886">IFERROR(L46/I46-1,0)</f>
        <v>0</v>
      </c>
      <c r="M47" s="242">
        <f t="shared" ref="M47" si="887">IFERROR(M46/J46-1,0)</f>
        <v>0</v>
      </c>
      <c r="N47" s="53">
        <f t="shared" ref="N47" si="888">IFERROR(N46/K46-1,0)</f>
        <v>0</v>
      </c>
      <c r="O47" s="53">
        <f t="shared" ref="O47" si="889">IFERROR(O46/L46-1,0)</f>
        <v>0</v>
      </c>
      <c r="P47" s="242">
        <f t="shared" ref="P47" si="890">IFERROR(P46/M46-1,0)</f>
        <v>0</v>
      </c>
      <c r="Q47" s="53">
        <f t="shared" ref="Q47" si="891">IFERROR(Q46/N46-1,0)</f>
        <v>0</v>
      </c>
      <c r="R47" s="53">
        <f t="shared" ref="R47" si="892">IFERROR(R46/O46-1,0)</f>
        <v>0</v>
      </c>
      <c r="S47" s="242">
        <f t="shared" ref="S47" si="893">IFERROR(S46/P46-1,0)</f>
        <v>0</v>
      </c>
      <c r="T47" s="53">
        <f t="shared" ref="T47" si="894">IFERROR(T46/Q46-1,0)</f>
        <v>0</v>
      </c>
      <c r="U47" s="53">
        <f t="shared" ref="U47" si="895">IFERROR(U46/R46-1,0)</f>
        <v>0</v>
      </c>
      <c r="V47" s="242">
        <f t="shared" ref="V47" si="896">IFERROR(V46/S46-1,0)</f>
        <v>0</v>
      </c>
      <c r="W47" s="53">
        <f t="shared" ref="W47" si="897">IFERROR(W46/T46-1,0)</f>
        <v>0</v>
      </c>
      <c r="X47" s="53">
        <f t="shared" ref="X47" si="898">IFERROR(X46/U46-1,0)</f>
        <v>0</v>
      </c>
      <c r="Y47" s="242">
        <f t="shared" ref="Y47" si="899">IFERROR(Y46/V46-1,0)</f>
        <v>0</v>
      </c>
      <c r="Z47" s="53">
        <f t="shared" ref="Z47" si="900">IFERROR(Z46/W46-1,0)</f>
        <v>0</v>
      </c>
      <c r="AA47" s="53">
        <f t="shared" ref="AA47" si="901">IFERROR(AA46/X46-1,0)</f>
        <v>0</v>
      </c>
      <c r="AB47" s="242">
        <f t="shared" ref="AB47" si="902">IFERROR(AB46/Y46-1,0)</f>
        <v>0</v>
      </c>
      <c r="AC47" s="53">
        <f t="shared" ref="AC47" si="903">IFERROR(AC46/Z46-1,0)</f>
        <v>0</v>
      </c>
      <c r="AD47" s="53">
        <f t="shared" ref="AD47" si="904">IFERROR(AD46/AA46-1,0)</f>
        <v>0</v>
      </c>
      <c r="AE47" s="242">
        <f t="shared" ref="AE47" si="905">IFERROR(AE46/AB46-1,0)</f>
        <v>0</v>
      </c>
      <c r="AF47" s="53">
        <f t="shared" ref="AF47" si="906">IFERROR(AF46/AC46-1,0)</f>
        <v>0</v>
      </c>
      <c r="AG47" s="53">
        <f t="shared" ref="AG47" si="907">IFERROR(AG46/AD46-1,0)</f>
        <v>0</v>
      </c>
      <c r="AH47" s="242">
        <f t="shared" ref="AH47" si="908">IFERROR(AH46/AE46-1,0)</f>
        <v>0</v>
      </c>
      <c r="AI47" s="53">
        <f>IFERROR(AI46/AF46-1,0)</f>
        <v>0.4375</v>
      </c>
      <c r="AJ47" s="53">
        <f t="shared" ref="AJ47:AK47" si="909">IFERROR(AJ46/AG46-1,0)</f>
        <v>-1</v>
      </c>
      <c r="AK47" s="242">
        <f t="shared" si="909"/>
        <v>9.5238095238095344E-2</v>
      </c>
      <c r="AL47" s="53">
        <f t="shared" ref="AL47" si="910">IFERROR(AL46/AI46-1,0)</f>
        <v>0.26086956521739135</v>
      </c>
      <c r="AM47" s="53">
        <f t="shared" ref="AM47:AN47" si="911">IFERROR(AM46/AJ46-1,0)</f>
        <v>0</v>
      </c>
      <c r="AN47" s="242">
        <f t="shared" si="911"/>
        <v>0.30434782608695654</v>
      </c>
      <c r="AO47" s="53">
        <f t="shared" ref="AO47" si="912">IFERROR(AO46/AL46-1,0)</f>
        <v>0.10344827586206895</v>
      </c>
      <c r="AP47" s="53">
        <f t="shared" ref="AP47" si="913">IFERROR(AP46/AM46-1,0)</f>
        <v>4</v>
      </c>
      <c r="AQ47" s="242">
        <f t="shared" ref="AQ47:AT47" si="914">IFERROR(AQ46/AN46-1,0)</f>
        <v>0.23333333333333339</v>
      </c>
      <c r="AR47" s="53">
        <f t="shared" ref="AR47" si="915">IFERROR(AR46/AO46-1,0)</f>
        <v>0.3125</v>
      </c>
      <c r="AS47" s="53">
        <f t="shared" si="914"/>
        <v>-0.6</v>
      </c>
      <c r="AT47" s="242">
        <f t="shared" si="914"/>
        <v>0.18918918918918926</v>
      </c>
      <c r="AU47" s="283">
        <f>IFERROR(AU46/AF46-1,0)</f>
        <v>6.875</v>
      </c>
      <c r="AV47" s="283">
        <f t="shared" ref="AV47" si="916">IFERROR(AV46/AG46-1,0)</f>
        <v>0.60000000000000009</v>
      </c>
      <c r="AW47" s="242">
        <f>IFERROR(AW46/AH46-1,0)</f>
        <v>5.3809523809523814</v>
      </c>
      <c r="AX47" s="210">
        <v>0.15</v>
      </c>
      <c r="AY47" s="210">
        <v>0.15</v>
      </c>
      <c r="AZ47" s="236"/>
      <c r="BA47" s="236"/>
      <c r="BB47" s="240"/>
      <c r="BC47" s="236"/>
      <c r="BD47" s="236"/>
      <c r="BE47" s="240"/>
      <c r="BF47" s="236"/>
      <c r="BG47" s="236"/>
      <c r="BH47" s="240"/>
      <c r="BI47" s="236"/>
      <c r="BJ47" s="236"/>
      <c r="BK47" s="240"/>
      <c r="BL47" s="236"/>
      <c r="BM47" s="236"/>
      <c r="BN47" s="240"/>
    </row>
    <row r="48" spans="1:66" x14ac:dyDescent="0.35">
      <c r="A48" s="244" t="s">
        <v>29</v>
      </c>
      <c r="E48" s="236"/>
      <c r="F48" s="236"/>
      <c r="G48" s="240"/>
      <c r="H48" s="247">
        <f>H47</f>
        <v>0</v>
      </c>
      <c r="I48" s="247">
        <f t="shared" ref="I48" si="917">I47</f>
        <v>0</v>
      </c>
      <c r="J48" s="248">
        <f t="shared" ref="J48" si="918">J47</f>
        <v>0</v>
      </c>
      <c r="K48" s="247">
        <f t="shared" ref="K48" si="919">K47</f>
        <v>0</v>
      </c>
      <c r="L48" s="247">
        <f t="shared" ref="L48" si="920">L47</f>
        <v>0</v>
      </c>
      <c r="M48" s="248">
        <f t="shared" ref="M48" si="921">M47</f>
        <v>0</v>
      </c>
      <c r="N48" s="247">
        <f t="shared" ref="N48" si="922">N47</f>
        <v>0</v>
      </c>
      <c r="O48" s="247">
        <f t="shared" ref="O48" si="923">O47</f>
        <v>0</v>
      </c>
      <c r="P48" s="248">
        <f t="shared" ref="P48" si="924">P47</f>
        <v>0</v>
      </c>
      <c r="Q48" s="247">
        <f t="shared" ref="Q48" si="925">Q47</f>
        <v>0</v>
      </c>
      <c r="R48" s="247">
        <f t="shared" ref="R48" si="926">R47</f>
        <v>0</v>
      </c>
      <c r="S48" s="248">
        <f t="shared" ref="S48" si="927">S47</f>
        <v>0</v>
      </c>
      <c r="T48" s="247">
        <f t="shared" ref="T48" si="928">T47</f>
        <v>0</v>
      </c>
      <c r="U48" s="247">
        <f t="shared" ref="U48" si="929">U47</f>
        <v>0</v>
      </c>
      <c r="V48" s="248">
        <f t="shared" ref="V48" si="930">V47</f>
        <v>0</v>
      </c>
      <c r="W48" s="247">
        <f t="shared" ref="W48" si="931">W47</f>
        <v>0</v>
      </c>
      <c r="X48" s="247">
        <f t="shared" ref="X48" si="932">X47</f>
        <v>0</v>
      </c>
      <c r="Y48" s="248">
        <f t="shared" ref="Y48" si="933">Y47</f>
        <v>0</v>
      </c>
      <c r="Z48" s="247">
        <f t="shared" ref="Z48" si="934">Z47</f>
        <v>0</v>
      </c>
      <c r="AA48" s="247">
        <f t="shared" ref="AA48" si="935">AA47</f>
        <v>0</v>
      </c>
      <c r="AB48" s="248">
        <f t="shared" ref="AB48" si="936">AB47</f>
        <v>0</v>
      </c>
      <c r="AC48" s="247">
        <f t="shared" ref="AC48" si="937">AC47</f>
        <v>0</v>
      </c>
      <c r="AD48" s="247">
        <f t="shared" ref="AD48" si="938">AD47</f>
        <v>0</v>
      </c>
      <c r="AE48" s="248">
        <f t="shared" ref="AE48" si="939">AE47</f>
        <v>0</v>
      </c>
      <c r="AF48" s="247">
        <f t="shared" ref="AF48" si="940">AF47</f>
        <v>0</v>
      </c>
      <c r="AG48" s="247">
        <f t="shared" ref="AG48" si="941">AG47</f>
        <v>0</v>
      </c>
      <c r="AH48" s="248">
        <f t="shared" ref="AH48" si="942">AH47</f>
        <v>0</v>
      </c>
      <c r="AI48" s="249">
        <f>AI47</f>
        <v>0.4375</v>
      </c>
      <c r="AJ48" s="249">
        <f t="shared" ref="AJ48" si="943">AJ47</f>
        <v>-1</v>
      </c>
      <c r="AK48" s="249">
        <f t="shared" ref="AK48" si="944">AK47</f>
        <v>9.5238095238095344E-2</v>
      </c>
      <c r="AL48" s="249">
        <f t="shared" ref="AL48" si="945">AL47</f>
        <v>0.26086956521739135</v>
      </c>
      <c r="AM48" s="249">
        <f t="shared" ref="AM48" si="946">AM47</f>
        <v>0</v>
      </c>
      <c r="AN48" s="249">
        <f t="shared" ref="AN48" si="947">AN47</f>
        <v>0.30434782608695654</v>
      </c>
      <c r="AO48" s="249">
        <f t="shared" ref="AO48" si="948">AO47</f>
        <v>0.10344827586206895</v>
      </c>
      <c r="AP48" s="249">
        <f t="shared" ref="AP48" si="949">AP47</f>
        <v>4</v>
      </c>
      <c r="AQ48" s="249">
        <f t="shared" ref="AQ48" si="950">AQ47</f>
        <v>0.23333333333333339</v>
      </c>
      <c r="AR48" s="249">
        <f t="shared" ref="AR48" si="951">AR47</f>
        <v>0.3125</v>
      </c>
      <c r="AS48" s="249">
        <f t="shared" ref="AS48" si="952">AS47</f>
        <v>-0.6</v>
      </c>
      <c r="AT48" s="249">
        <f t="shared" ref="AT48" si="953">AT47</f>
        <v>0.18918918918918926</v>
      </c>
      <c r="AU48" s="250">
        <f>AU47</f>
        <v>6.875</v>
      </c>
      <c r="AV48" s="250">
        <f t="shared" ref="AV48" si="954">AV47</f>
        <v>0.60000000000000009</v>
      </c>
      <c r="AW48" s="248">
        <f t="shared" ref="AW48" si="955">AW47</f>
        <v>5.3809523809523814</v>
      </c>
      <c r="AX48" s="278"/>
      <c r="AY48" s="278"/>
      <c r="AZ48" s="236"/>
      <c r="BA48" s="236"/>
      <c r="BB48" s="240"/>
      <c r="BC48" s="236"/>
      <c r="BD48" s="236"/>
      <c r="BE48" s="240"/>
      <c r="BF48" s="236"/>
      <c r="BG48" s="236"/>
      <c r="BH48" s="240"/>
      <c r="BI48" s="236"/>
      <c r="BJ48" s="236"/>
      <c r="BK48" s="240"/>
      <c r="BL48" s="236"/>
      <c r="BM48" s="236"/>
      <c r="BN48" s="240"/>
    </row>
    <row r="49" spans="1:66" x14ac:dyDescent="0.35">
      <c r="A49" s="69" t="s">
        <v>38</v>
      </c>
      <c r="B49" s="2"/>
      <c r="C49" s="2"/>
      <c r="D49" s="2"/>
      <c r="E49" s="259">
        <v>0</v>
      </c>
      <c r="F49" s="259">
        <v>0</v>
      </c>
      <c r="G49" s="260">
        <f>E49+F49</f>
        <v>0</v>
      </c>
      <c r="H49" s="259">
        <v>0</v>
      </c>
      <c r="I49" s="259">
        <v>0</v>
      </c>
      <c r="J49" s="260">
        <f>H49+I49</f>
        <v>0</v>
      </c>
      <c r="K49" s="259">
        <v>0</v>
      </c>
      <c r="L49" s="259">
        <v>0</v>
      </c>
      <c r="M49" s="260">
        <f>K49+L49</f>
        <v>0</v>
      </c>
      <c r="N49" s="259">
        <v>0</v>
      </c>
      <c r="O49" s="259">
        <v>0</v>
      </c>
      <c r="P49" s="260">
        <f>N49+O49</f>
        <v>0</v>
      </c>
      <c r="Q49" s="259">
        <v>0</v>
      </c>
      <c r="R49" s="259">
        <v>0</v>
      </c>
      <c r="S49" s="260">
        <f>Q49+R49</f>
        <v>0</v>
      </c>
      <c r="T49" s="259">
        <v>0</v>
      </c>
      <c r="U49" s="259">
        <v>0</v>
      </c>
      <c r="V49" s="260">
        <f>T49+U49</f>
        <v>0</v>
      </c>
      <c r="W49" s="259">
        <v>42</v>
      </c>
      <c r="X49" s="259">
        <v>147</v>
      </c>
      <c r="Y49" s="260">
        <f>W49+X49</f>
        <v>189</v>
      </c>
      <c r="Z49" s="259">
        <v>191</v>
      </c>
      <c r="AA49" s="259">
        <v>159</v>
      </c>
      <c r="AB49" s="260">
        <f>Z49+AA49</f>
        <v>350</v>
      </c>
      <c r="AC49" s="259">
        <v>331</v>
      </c>
      <c r="AD49" s="259">
        <v>199</v>
      </c>
      <c r="AE49" s="260">
        <f>AC49+AD49</f>
        <v>530</v>
      </c>
      <c r="AF49" s="259">
        <v>533</v>
      </c>
      <c r="AG49" s="259">
        <v>254</v>
      </c>
      <c r="AH49" s="260">
        <f>AF49+AG49</f>
        <v>787</v>
      </c>
      <c r="AI49" s="6">
        <v>164</v>
      </c>
      <c r="AJ49" s="6">
        <v>90</v>
      </c>
      <c r="AK49" s="5">
        <f>AJ49+AI49</f>
        <v>254</v>
      </c>
      <c r="AL49" s="6">
        <v>192</v>
      </c>
      <c r="AM49" s="6">
        <v>89</v>
      </c>
      <c r="AN49" s="5">
        <f>AM49+AL49</f>
        <v>281</v>
      </c>
      <c r="AO49" s="6">
        <v>214</v>
      </c>
      <c r="AP49" s="6">
        <v>93</v>
      </c>
      <c r="AQ49" s="5">
        <f>AP49+AO49</f>
        <v>307</v>
      </c>
      <c r="AR49" s="6">
        <v>239</v>
      </c>
      <c r="AS49" s="6">
        <v>79</v>
      </c>
      <c r="AT49" s="5">
        <f>AS49+AR49</f>
        <v>318</v>
      </c>
      <c r="AU49" s="259">
        <f>AI49+AL49+AO49+AR49</f>
        <v>809</v>
      </c>
      <c r="AV49" s="259">
        <f>AJ49+AM49+AP49+AS49</f>
        <v>351</v>
      </c>
      <c r="AW49" s="260">
        <f>AU49+AV49</f>
        <v>1160</v>
      </c>
      <c r="AX49" s="277"/>
      <c r="AY49" s="277"/>
      <c r="AZ49" s="259">
        <f>AU49*(1+AX50+0.15)</f>
        <v>1424.0599697885195</v>
      </c>
      <c r="BA49" s="259">
        <f>AV49*(1+AY50)</f>
        <v>438.00207633870326</v>
      </c>
      <c r="BB49" s="260">
        <f>AZ49+BA49</f>
        <v>1862.0620461272229</v>
      </c>
      <c r="BC49" s="259">
        <f>AZ49*(1.05)</f>
        <v>1495.2629682779457</v>
      </c>
      <c r="BD49" s="259">
        <f>BA49*(1+$AY50-0.12)</f>
        <v>494.0090353892565</v>
      </c>
      <c r="BE49" s="260">
        <f>BC49+BD49</f>
        <v>1989.2720036672022</v>
      </c>
      <c r="BF49" s="259">
        <f>BC49*(1.05)</f>
        <v>1570.0261166918431</v>
      </c>
      <c r="BG49" s="259">
        <f>BD49*(1+$AY50)</f>
        <v>616.45864168254775</v>
      </c>
      <c r="BH49" s="260">
        <f>BF49+BG49</f>
        <v>2186.4847583743908</v>
      </c>
      <c r="BI49" s="259">
        <f>BF49*(1.05)</f>
        <v>1648.5274225264352</v>
      </c>
      <c r="BJ49" s="259">
        <f>BG49*(1+$AY50-0.15)</f>
        <v>676.79093318890739</v>
      </c>
      <c r="BK49" s="260">
        <f>BI49+BJ49</f>
        <v>2325.3183557153425</v>
      </c>
      <c r="BL49" s="259">
        <f>BI49*(1.05)</f>
        <v>1730.953793652757</v>
      </c>
      <c r="BM49" s="259">
        <f>BJ49*(1+$AY50-0.17)</f>
        <v>729.49207692469497</v>
      </c>
      <c r="BN49" s="260">
        <f>BL49+BM49</f>
        <v>2460.4458705774518</v>
      </c>
    </row>
    <row r="50" spans="1:66" x14ac:dyDescent="0.35">
      <c r="A50" s="241" t="s">
        <v>28</v>
      </c>
      <c r="E50" s="53"/>
      <c r="F50" s="53"/>
      <c r="G50" s="242"/>
      <c r="H50" s="53">
        <f t="shared" ref="H50" si="956">IFERROR(H49/E49-1,0)</f>
        <v>0</v>
      </c>
      <c r="I50" s="53">
        <f t="shared" ref="I50" si="957">IFERROR(I49/F49-1,0)</f>
        <v>0</v>
      </c>
      <c r="J50" s="242">
        <f t="shared" ref="J50" si="958">IFERROR(J49/G49-1,0)</f>
        <v>0</v>
      </c>
      <c r="K50" s="53">
        <f>IFERROR(K49/H49-1,0)</f>
        <v>0</v>
      </c>
      <c r="L50" s="53">
        <f t="shared" ref="L50" si="959">IFERROR(L49/I49-1,0)</f>
        <v>0</v>
      </c>
      <c r="M50" s="242">
        <f t="shared" ref="M50" si="960">IFERROR(M49/J49-1,0)</f>
        <v>0</v>
      </c>
      <c r="N50" s="53">
        <f t="shared" ref="N50" si="961">IFERROR(N49/K49-1,0)</f>
        <v>0</v>
      </c>
      <c r="O50" s="53">
        <f t="shared" ref="O50" si="962">IFERROR(O49/L49-1,0)</f>
        <v>0</v>
      </c>
      <c r="P50" s="242">
        <f t="shared" ref="P50" si="963">IFERROR(P49/M49-1,0)</f>
        <v>0</v>
      </c>
      <c r="Q50" s="53">
        <f t="shared" ref="Q50" si="964">IFERROR(Q49/N49-1,0)</f>
        <v>0</v>
      </c>
      <c r="R50" s="53">
        <f t="shared" ref="R50" si="965">IFERROR(R49/O49-1,0)</f>
        <v>0</v>
      </c>
      <c r="S50" s="242">
        <f t="shared" ref="S50" si="966">IFERROR(S49/P49-1,0)</f>
        <v>0</v>
      </c>
      <c r="T50" s="53">
        <f t="shared" ref="T50" si="967">IFERROR(T49/Q49-1,0)</f>
        <v>0</v>
      </c>
      <c r="U50" s="53">
        <f t="shared" ref="U50" si="968">IFERROR(U49/R49-1,0)</f>
        <v>0</v>
      </c>
      <c r="V50" s="242">
        <f t="shared" ref="V50" si="969">IFERROR(V49/S49-1,0)</f>
        <v>0</v>
      </c>
      <c r="W50" s="53">
        <f t="shared" ref="W50" si="970">IFERROR(W49/T49-1,0)</f>
        <v>0</v>
      </c>
      <c r="X50" s="53">
        <f t="shared" ref="X50" si="971">IFERROR(X49/U49-1,0)</f>
        <v>0</v>
      </c>
      <c r="Y50" s="242">
        <f t="shared" ref="Y50" si="972">IFERROR(Y49/V49-1,0)</f>
        <v>0</v>
      </c>
      <c r="Z50" s="53">
        <f t="shared" ref="Z50" si="973">IFERROR(Z49/W49-1,0)</f>
        <v>3.5476190476190474</v>
      </c>
      <c r="AA50" s="53">
        <f t="shared" ref="AA50" si="974">IFERROR(AA49/X49-1,0)</f>
        <v>8.163265306122458E-2</v>
      </c>
      <c r="AB50" s="242">
        <f t="shared" ref="AB50" si="975">IFERROR(AB49/Y49-1,0)</f>
        <v>0.85185185185185186</v>
      </c>
      <c r="AC50" s="53">
        <f t="shared" ref="AC50" si="976">IFERROR(AC49/Z49-1,0)</f>
        <v>0.73298429319371738</v>
      </c>
      <c r="AD50" s="53">
        <f t="shared" ref="AD50" si="977">IFERROR(AD49/AA49-1,0)</f>
        <v>0.2515723270440251</v>
      </c>
      <c r="AE50" s="242">
        <f t="shared" ref="AE50" si="978">IFERROR(AE49/AB49-1,0)</f>
        <v>0.51428571428571423</v>
      </c>
      <c r="AF50" s="53">
        <f t="shared" ref="AF50" si="979">IFERROR(AF49/AC49-1,0)</f>
        <v>0.61027190332326287</v>
      </c>
      <c r="AG50" s="53">
        <f t="shared" ref="AG50" si="980">IFERROR(AG49/AD49-1,0)</f>
        <v>0.27638190954773867</v>
      </c>
      <c r="AH50" s="242">
        <f t="shared" ref="AH50" si="981">IFERROR(AH49/AE49-1,0)</f>
        <v>0.48490566037735849</v>
      </c>
      <c r="AI50" s="53">
        <f>IFERROR(AI49/AF49-1,0)</f>
        <v>-0.69230769230769229</v>
      </c>
      <c r="AJ50" s="53">
        <f t="shared" ref="AJ50:AK50" si="982">IFERROR(AJ49/AG49-1,0)</f>
        <v>-0.64566929133858264</v>
      </c>
      <c r="AK50" s="242">
        <f t="shared" si="982"/>
        <v>-0.67725540025412956</v>
      </c>
      <c r="AL50" s="53">
        <f t="shared" ref="AL50" si="983">IFERROR(AL49/AI49-1,0)</f>
        <v>0.1707317073170731</v>
      </c>
      <c r="AM50" s="53">
        <f t="shared" ref="AM50:AN50" si="984">IFERROR(AM49/AJ49-1,0)</f>
        <v>-1.1111111111111072E-2</v>
      </c>
      <c r="AN50" s="242">
        <f t="shared" si="984"/>
        <v>0.10629921259842523</v>
      </c>
      <c r="AO50" s="53">
        <f t="shared" ref="AO50" si="985">IFERROR(AO49/AL49-1,0)</f>
        <v>0.11458333333333326</v>
      </c>
      <c r="AP50" s="53">
        <f t="shared" ref="AP50" si="986">IFERROR(AP49/AM49-1,0)</f>
        <v>4.4943820224719211E-2</v>
      </c>
      <c r="AQ50" s="242">
        <f t="shared" ref="AQ50:AT50" si="987">IFERROR(AQ49/AN49-1,0)</f>
        <v>9.2526690391458999E-2</v>
      </c>
      <c r="AR50" s="53">
        <f t="shared" ref="AR50" si="988">IFERROR(AR49/AO49-1,0)</f>
        <v>0.11682242990654212</v>
      </c>
      <c r="AS50" s="53">
        <f t="shared" si="987"/>
        <v>-0.15053763440860213</v>
      </c>
      <c r="AT50" s="242">
        <f t="shared" si="987"/>
        <v>3.5830618892508159E-2</v>
      </c>
      <c r="AU50" s="283">
        <f>IFERROR(AU49/AF49-1,0)</f>
        <v>0.51782363977485923</v>
      </c>
      <c r="AV50" s="283">
        <f t="shared" ref="AV50" si="989">IFERROR(AV49/AG49-1,0)</f>
        <v>0.38188976377952755</v>
      </c>
      <c r="AW50" s="242">
        <f>IFERROR(AW49/AH49-1,0)</f>
        <v>0.47395171537484115</v>
      </c>
      <c r="AX50" s="210">
        <f>MEDIAN(AC50,AF50,AU50)</f>
        <v>0.61027190332326287</v>
      </c>
      <c r="AY50" s="210">
        <f>AVERAGE(AA50,AD50,AG50,AV50)</f>
        <v>0.24786916335812897</v>
      </c>
      <c r="AZ50" s="236"/>
      <c r="BA50" s="236"/>
      <c r="BB50" s="240"/>
      <c r="BC50" s="236"/>
      <c r="BD50" s="236"/>
      <c r="BE50" s="240"/>
      <c r="BF50" s="236"/>
      <c r="BG50" s="236"/>
      <c r="BH50" s="240"/>
      <c r="BI50" s="236"/>
      <c r="BJ50" s="236"/>
      <c r="BK50" s="240"/>
      <c r="BL50" s="236"/>
      <c r="BM50" s="236"/>
      <c r="BN50" s="240"/>
    </row>
    <row r="51" spans="1:66" x14ac:dyDescent="0.35">
      <c r="A51" s="244" t="s">
        <v>29</v>
      </c>
      <c r="E51" s="236"/>
      <c r="F51" s="236"/>
      <c r="G51" s="240"/>
      <c r="H51" s="247">
        <f>H50</f>
        <v>0</v>
      </c>
      <c r="I51" s="247">
        <f t="shared" ref="I51" si="990">I50</f>
        <v>0</v>
      </c>
      <c r="J51" s="248">
        <f t="shared" ref="J51" si="991">J50</f>
        <v>0</v>
      </c>
      <c r="K51" s="247">
        <f t="shared" ref="K51" si="992">K50</f>
        <v>0</v>
      </c>
      <c r="L51" s="247">
        <f t="shared" ref="L51" si="993">L50</f>
        <v>0</v>
      </c>
      <c r="M51" s="248">
        <f t="shared" ref="M51" si="994">M50</f>
        <v>0</v>
      </c>
      <c r="N51" s="247">
        <f t="shared" ref="N51" si="995">N50</f>
        <v>0</v>
      </c>
      <c r="O51" s="247">
        <f t="shared" ref="O51" si="996">O50</f>
        <v>0</v>
      </c>
      <c r="P51" s="248">
        <f t="shared" ref="P51" si="997">P50</f>
        <v>0</v>
      </c>
      <c r="Q51" s="247">
        <f t="shared" ref="Q51" si="998">Q50</f>
        <v>0</v>
      </c>
      <c r="R51" s="247">
        <f t="shared" ref="R51" si="999">R50</f>
        <v>0</v>
      </c>
      <c r="S51" s="248">
        <f t="shared" ref="S51" si="1000">S50</f>
        <v>0</v>
      </c>
      <c r="T51" s="247">
        <f t="shared" ref="T51" si="1001">T50</f>
        <v>0</v>
      </c>
      <c r="U51" s="247">
        <f t="shared" ref="U51" si="1002">U50</f>
        <v>0</v>
      </c>
      <c r="V51" s="248">
        <f t="shared" ref="V51" si="1003">V50</f>
        <v>0</v>
      </c>
      <c r="W51" s="247">
        <f t="shared" ref="W51" si="1004">W50</f>
        <v>0</v>
      </c>
      <c r="X51" s="247">
        <f t="shared" ref="X51" si="1005">X50</f>
        <v>0</v>
      </c>
      <c r="Y51" s="248">
        <f t="shared" ref="Y51" si="1006">Y50</f>
        <v>0</v>
      </c>
      <c r="Z51" s="247">
        <f t="shared" ref="Z51" si="1007">Z50</f>
        <v>3.5476190476190474</v>
      </c>
      <c r="AA51" s="247">
        <f t="shared" ref="AA51" si="1008">AA50</f>
        <v>8.163265306122458E-2</v>
      </c>
      <c r="AB51" s="248">
        <f t="shared" ref="AB51" si="1009">AB50</f>
        <v>0.85185185185185186</v>
      </c>
      <c r="AC51" s="247">
        <f t="shared" ref="AC51" si="1010">AC50</f>
        <v>0.73298429319371738</v>
      </c>
      <c r="AD51" s="247">
        <f t="shared" ref="AD51" si="1011">AD50</f>
        <v>0.2515723270440251</v>
      </c>
      <c r="AE51" s="248">
        <f t="shared" ref="AE51" si="1012">AE50</f>
        <v>0.51428571428571423</v>
      </c>
      <c r="AF51" s="247">
        <f t="shared" ref="AF51" si="1013">AF50</f>
        <v>0.61027190332326287</v>
      </c>
      <c r="AG51" s="247">
        <f t="shared" ref="AG51" si="1014">AG50</f>
        <v>0.27638190954773867</v>
      </c>
      <c r="AH51" s="248">
        <f t="shared" ref="AH51" si="1015">AH50</f>
        <v>0.48490566037735849</v>
      </c>
      <c r="AI51" s="249">
        <f>AI50</f>
        <v>-0.69230769230769229</v>
      </c>
      <c r="AJ51" s="249">
        <f t="shared" ref="AJ51" si="1016">AJ50</f>
        <v>-0.64566929133858264</v>
      </c>
      <c r="AK51" s="249">
        <f t="shared" ref="AK51" si="1017">AK50</f>
        <v>-0.67725540025412956</v>
      </c>
      <c r="AL51" s="249">
        <f t="shared" ref="AL51" si="1018">AL50</f>
        <v>0.1707317073170731</v>
      </c>
      <c r="AM51" s="249">
        <f t="shared" ref="AM51" si="1019">AM50</f>
        <v>-1.1111111111111072E-2</v>
      </c>
      <c r="AN51" s="249">
        <f t="shared" ref="AN51" si="1020">AN50</f>
        <v>0.10629921259842523</v>
      </c>
      <c r="AO51" s="249">
        <f t="shared" ref="AO51" si="1021">AO50</f>
        <v>0.11458333333333326</v>
      </c>
      <c r="AP51" s="249">
        <f t="shared" ref="AP51" si="1022">AP50</f>
        <v>4.4943820224719211E-2</v>
      </c>
      <c r="AQ51" s="249">
        <f t="shared" ref="AQ51" si="1023">AQ50</f>
        <v>9.2526690391458999E-2</v>
      </c>
      <c r="AR51" s="249">
        <f t="shared" ref="AR51" si="1024">AR50</f>
        <v>0.11682242990654212</v>
      </c>
      <c r="AS51" s="249">
        <f t="shared" ref="AS51" si="1025">AS50</f>
        <v>-0.15053763440860213</v>
      </c>
      <c r="AT51" s="249">
        <f t="shared" ref="AT51" si="1026">AT50</f>
        <v>3.5830618892508159E-2</v>
      </c>
      <c r="AU51" s="250">
        <f>AU50</f>
        <v>0.51782363977485923</v>
      </c>
      <c r="AV51" s="250">
        <f t="shared" ref="AV51" si="1027">AV50</f>
        <v>0.38188976377952755</v>
      </c>
      <c r="AW51" s="248">
        <f t="shared" ref="AW51" si="1028">AW50</f>
        <v>0.47395171537484115</v>
      </c>
      <c r="AX51" s="278"/>
      <c r="AY51" s="278"/>
      <c r="AZ51" s="236"/>
      <c r="BA51" s="236"/>
      <c r="BB51" s="240"/>
      <c r="BC51" s="236"/>
      <c r="BD51" s="236"/>
      <c r="BE51" s="240"/>
      <c r="BF51" s="236"/>
      <c r="BG51" s="236"/>
      <c r="BH51" s="240"/>
      <c r="BI51" s="236"/>
      <c r="BJ51" s="236"/>
      <c r="BK51" s="240"/>
      <c r="BL51" s="236"/>
      <c r="BM51" s="236"/>
      <c r="BN51" s="240"/>
    </row>
    <row r="52" spans="1:66" x14ac:dyDescent="0.35">
      <c r="A52" s="69" t="s">
        <v>10</v>
      </c>
      <c r="B52" s="2"/>
      <c r="C52" s="2"/>
      <c r="D52" s="2"/>
      <c r="E52" s="259">
        <v>0</v>
      </c>
      <c r="F52" s="259">
        <v>0</v>
      </c>
      <c r="G52" s="260">
        <f>E52+F52</f>
        <v>0</v>
      </c>
      <c r="H52" s="259">
        <v>0</v>
      </c>
      <c r="I52" s="259">
        <v>0</v>
      </c>
      <c r="J52" s="260">
        <f>H52+I52</f>
        <v>0</v>
      </c>
      <c r="K52" s="259">
        <v>0</v>
      </c>
      <c r="L52" s="259">
        <v>0</v>
      </c>
      <c r="M52" s="260">
        <f>K52+L52</f>
        <v>0</v>
      </c>
      <c r="N52" s="259">
        <v>0</v>
      </c>
      <c r="O52" s="259">
        <v>0</v>
      </c>
      <c r="P52" s="260">
        <f>N52+O52</f>
        <v>0</v>
      </c>
      <c r="Q52" s="259">
        <v>0</v>
      </c>
      <c r="R52" s="259">
        <v>0</v>
      </c>
      <c r="S52" s="260">
        <f>Q52+R52</f>
        <v>0</v>
      </c>
      <c r="T52" s="259">
        <v>119</v>
      </c>
      <c r="U52" s="259">
        <v>0</v>
      </c>
      <c r="V52" s="260">
        <f>T52+U52</f>
        <v>119</v>
      </c>
      <c r="W52" s="259">
        <v>306</v>
      </c>
      <c r="X52" s="259">
        <v>0</v>
      </c>
      <c r="Y52" s="260">
        <f>W52+X52</f>
        <v>306</v>
      </c>
      <c r="Z52" s="259">
        <v>378</v>
      </c>
      <c r="AA52" s="259">
        <v>0</v>
      </c>
      <c r="AB52" s="260">
        <f>Z52+AA52</f>
        <v>378</v>
      </c>
      <c r="AC52" s="259">
        <v>313</v>
      </c>
      <c r="AD52" s="259">
        <v>4</v>
      </c>
      <c r="AE52" s="260">
        <f>AC52+AD52</f>
        <v>317</v>
      </c>
      <c r="AF52" s="259">
        <v>398</v>
      </c>
      <c r="AG52" s="259">
        <v>16</v>
      </c>
      <c r="AH52" s="260">
        <f>AF52+AG52</f>
        <v>414</v>
      </c>
      <c r="AI52" s="6">
        <v>64</v>
      </c>
      <c r="AJ52" s="6">
        <v>5</v>
      </c>
      <c r="AK52" s="5">
        <f>AJ52+AI52</f>
        <v>69</v>
      </c>
      <c r="AL52" s="6">
        <v>78</v>
      </c>
      <c r="AM52" s="6">
        <v>4</v>
      </c>
      <c r="AN52" s="5">
        <f>AM52+AL52</f>
        <v>82</v>
      </c>
      <c r="AO52" s="6">
        <v>88</v>
      </c>
      <c r="AP52" s="6">
        <v>6</v>
      </c>
      <c r="AQ52" s="5">
        <f>AP52+AO52</f>
        <v>94</v>
      </c>
      <c r="AR52" s="6">
        <v>73</v>
      </c>
      <c r="AS52" s="6">
        <v>5</v>
      </c>
      <c r="AT52" s="5">
        <f>AS52+AR52</f>
        <v>78</v>
      </c>
      <c r="AU52" s="259">
        <f>AI52+AL52+AO52+AR52</f>
        <v>303</v>
      </c>
      <c r="AV52" s="259">
        <f>AJ52+AM52+AP52+AS52</f>
        <v>20</v>
      </c>
      <c r="AW52" s="260">
        <f>AU52+AV52</f>
        <v>323</v>
      </c>
      <c r="AX52" s="277"/>
      <c r="AY52" s="277"/>
      <c r="AZ52" s="259">
        <f>AU52*(1+AX53)</f>
        <v>312.5954715219421</v>
      </c>
      <c r="BA52" s="259">
        <f>AV52*(1+AY53)</f>
        <v>23.2</v>
      </c>
      <c r="BB52" s="260">
        <f>AZ52+BA52</f>
        <v>335.79547152194209</v>
      </c>
      <c r="BC52" s="259">
        <f>AZ52*(1+$AX53)</f>
        <v>322.49481457434098</v>
      </c>
      <c r="BD52" s="259">
        <f>BA52*(1+$AY53)</f>
        <v>26.911999999999999</v>
      </c>
      <c r="BE52" s="260">
        <f>BC52+BD52</f>
        <v>349.40681457434096</v>
      </c>
      <c r="BF52" s="259">
        <f>BC52*(1+$AX53)</f>
        <v>332.7076522285393</v>
      </c>
      <c r="BG52" s="259">
        <f>BD52*(1+$AY53)</f>
        <v>31.217919999999996</v>
      </c>
      <c r="BH52" s="260">
        <f>BF52+BG52</f>
        <v>363.92557222853929</v>
      </c>
      <c r="BI52" s="259">
        <f>BF52*(1+$AX53-0.1)</f>
        <v>309.97314707859351</v>
      </c>
      <c r="BJ52" s="259">
        <f>BG52*(1+$AY53)</f>
        <v>36.212787199999994</v>
      </c>
      <c r="BK52" s="260">
        <f>BI52+BJ52</f>
        <v>346.18593427859349</v>
      </c>
      <c r="BL52" s="259">
        <f>BI52*(1+$AX53)</f>
        <v>319.78944577614931</v>
      </c>
      <c r="BM52" s="259">
        <f>BJ52*(1+$AY53)</f>
        <v>42.006833151999992</v>
      </c>
      <c r="BN52" s="260">
        <f>BL52+BM52</f>
        <v>361.79627892814932</v>
      </c>
    </row>
    <row r="53" spans="1:66" x14ac:dyDescent="0.35">
      <c r="A53" s="241" t="s">
        <v>28</v>
      </c>
      <c r="E53" s="53"/>
      <c r="F53" s="53"/>
      <c r="G53" s="242"/>
      <c r="H53" s="53">
        <f t="shared" ref="H53" si="1029">IFERROR(H52/E52-1,0)</f>
        <v>0</v>
      </c>
      <c r="I53" s="53">
        <f t="shared" ref="I53" si="1030">IFERROR(I52/F52-1,0)</f>
        <v>0</v>
      </c>
      <c r="J53" s="242">
        <f t="shared" ref="J53" si="1031">IFERROR(J52/G52-1,0)</f>
        <v>0</v>
      </c>
      <c r="K53" s="53">
        <f>IFERROR(K52/H52-1,0)</f>
        <v>0</v>
      </c>
      <c r="L53" s="53">
        <f t="shared" ref="L53" si="1032">IFERROR(L52/I52-1,0)</f>
        <v>0</v>
      </c>
      <c r="M53" s="242">
        <f t="shared" ref="M53" si="1033">IFERROR(M52/J52-1,0)</f>
        <v>0</v>
      </c>
      <c r="N53" s="53">
        <f t="shared" ref="N53" si="1034">IFERROR(N52/K52-1,0)</f>
        <v>0</v>
      </c>
      <c r="O53" s="53">
        <f t="shared" ref="O53" si="1035">IFERROR(O52/L52-1,0)</f>
        <v>0</v>
      </c>
      <c r="P53" s="242">
        <f t="shared" ref="P53" si="1036">IFERROR(P52/M52-1,0)</f>
        <v>0</v>
      </c>
      <c r="Q53" s="53">
        <f t="shared" ref="Q53" si="1037">IFERROR(Q52/N52-1,0)</f>
        <v>0</v>
      </c>
      <c r="R53" s="53">
        <f t="shared" ref="R53" si="1038">IFERROR(R52/O52-1,0)</f>
        <v>0</v>
      </c>
      <c r="S53" s="242">
        <f t="shared" ref="S53" si="1039">IFERROR(S52/P52-1,0)</f>
        <v>0</v>
      </c>
      <c r="T53" s="53">
        <f t="shared" ref="T53" si="1040">IFERROR(T52/Q52-1,0)</f>
        <v>0</v>
      </c>
      <c r="U53" s="53">
        <f t="shared" ref="U53" si="1041">IFERROR(U52/R52-1,0)</f>
        <v>0</v>
      </c>
      <c r="V53" s="242">
        <f t="shared" ref="V53" si="1042">IFERROR(V52/S52-1,0)</f>
        <v>0</v>
      </c>
      <c r="W53" s="53">
        <f t="shared" ref="W53" si="1043">IFERROR(W52/T52-1,0)</f>
        <v>1.5714285714285716</v>
      </c>
      <c r="X53" s="53">
        <f t="shared" ref="X53" si="1044">IFERROR(X52/U52-1,0)</f>
        <v>0</v>
      </c>
      <c r="Y53" s="242">
        <f t="shared" ref="Y53" si="1045">IFERROR(Y52/V52-1,0)</f>
        <v>1.5714285714285716</v>
      </c>
      <c r="Z53" s="53">
        <f t="shared" ref="Z53" si="1046">IFERROR(Z52/W52-1,0)</f>
        <v>0.23529411764705888</v>
      </c>
      <c r="AA53" s="53">
        <f t="shared" ref="AA53" si="1047">IFERROR(AA52/X52-1,0)</f>
        <v>0</v>
      </c>
      <c r="AB53" s="242">
        <f t="shared" ref="AB53" si="1048">IFERROR(AB52/Y52-1,0)</f>
        <v>0.23529411764705888</v>
      </c>
      <c r="AC53" s="53">
        <f t="shared" ref="AC53" si="1049">IFERROR(AC52/Z52-1,0)</f>
        <v>-0.17195767195767198</v>
      </c>
      <c r="AD53" s="53">
        <f t="shared" ref="AD53" si="1050">IFERROR(AD52/AA52-1,0)</f>
        <v>0</v>
      </c>
      <c r="AE53" s="242">
        <f t="shared" ref="AE53" si="1051">IFERROR(AE52/AB52-1,0)</f>
        <v>-0.16137566137566139</v>
      </c>
      <c r="AF53" s="53">
        <f t="shared" ref="AF53" si="1052">IFERROR(AF52/AC52-1,0)</f>
        <v>0.27156549520766782</v>
      </c>
      <c r="AG53" s="53">
        <f t="shared" ref="AG53" si="1053">IFERROR(AG52/AD52-1,0)</f>
        <v>3</v>
      </c>
      <c r="AH53" s="242">
        <f t="shared" ref="AH53" si="1054">IFERROR(AH52/AE52-1,0)</f>
        <v>0.30599369085173511</v>
      </c>
      <c r="AI53" s="53">
        <f>IFERROR(AI52/AF52-1,0)</f>
        <v>-0.83919597989949746</v>
      </c>
      <c r="AJ53" s="53">
        <f t="shared" ref="AJ53:AK53" si="1055">IFERROR(AJ52/AG52-1,0)</f>
        <v>-0.6875</v>
      </c>
      <c r="AK53" s="242">
        <f t="shared" si="1055"/>
        <v>-0.83333333333333337</v>
      </c>
      <c r="AL53" s="53">
        <f t="shared" ref="AL53" si="1056">IFERROR(AL52/AI52-1,0)</f>
        <v>0.21875</v>
      </c>
      <c r="AM53" s="53">
        <f t="shared" ref="AM53:AN53" si="1057">IFERROR(AM52/AJ52-1,0)</f>
        <v>-0.19999999999999996</v>
      </c>
      <c r="AN53" s="242">
        <f t="shared" si="1057"/>
        <v>0.18840579710144922</v>
      </c>
      <c r="AO53" s="53">
        <f t="shared" ref="AO53" si="1058">IFERROR(AO52/AL52-1,0)</f>
        <v>0.12820512820512819</v>
      </c>
      <c r="AP53" s="53">
        <f t="shared" ref="AP53" si="1059">IFERROR(AP52/AM52-1,0)</f>
        <v>0.5</v>
      </c>
      <c r="AQ53" s="242">
        <f t="shared" ref="AQ53:AT53" si="1060">IFERROR(AQ52/AN52-1,0)</f>
        <v>0.14634146341463405</v>
      </c>
      <c r="AR53" s="53">
        <f t="shared" ref="AR53" si="1061">IFERROR(AR52/AO52-1,0)</f>
        <v>-0.17045454545454541</v>
      </c>
      <c r="AS53" s="53">
        <f t="shared" si="1060"/>
        <v>-0.16666666666666663</v>
      </c>
      <c r="AT53" s="242">
        <f t="shared" si="1060"/>
        <v>-0.17021276595744683</v>
      </c>
      <c r="AU53" s="283">
        <f>IFERROR(AU52/AF52-1,0)</f>
        <v>-0.2386934673366834</v>
      </c>
      <c r="AV53" s="283">
        <f t="shared" ref="AV53" si="1062">IFERROR(AV52/AG52-1,0)</f>
        <v>0.25</v>
      </c>
      <c r="AW53" s="242">
        <f>IFERROR(AW52/AH52-1,0)</f>
        <v>-0.21980676328502413</v>
      </c>
      <c r="AX53" s="210">
        <f>MEDIAN(Z53,AC53,AF53,AU53)</f>
        <v>3.166822284469345E-2</v>
      </c>
      <c r="AY53" s="210">
        <v>0.16</v>
      </c>
      <c r="AZ53" s="236"/>
      <c r="BA53" s="236"/>
      <c r="BB53" s="240"/>
      <c r="BC53" s="236"/>
      <c r="BD53" s="236"/>
      <c r="BE53" s="240"/>
      <c r="BF53" s="236"/>
      <c r="BG53" s="236"/>
      <c r="BH53" s="240"/>
      <c r="BI53" s="236"/>
      <c r="BJ53" s="236"/>
      <c r="BK53" s="240"/>
      <c r="BL53" s="236"/>
      <c r="BM53" s="236"/>
      <c r="BN53" s="240"/>
    </row>
    <row r="54" spans="1:66" x14ac:dyDescent="0.35">
      <c r="A54" s="244" t="s">
        <v>29</v>
      </c>
      <c r="E54" s="236"/>
      <c r="F54" s="236"/>
      <c r="G54" s="240"/>
      <c r="H54" s="247">
        <f>H53</f>
        <v>0</v>
      </c>
      <c r="I54" s="247">
        <f t="shared" ref="I54" si="1063">I53</f>
        <v>0</v>
      </c>
      <c r="J54" s="248">
        <f t="shared" ref="J54" si="1064">J53</f>
        <v>0</v>
      </c>
      <c r="K54" s="247">
        <f t="shared" ref="K54" si="1065">K53</f>
        <v>0</v>
      </c>
      <c r="L54" s="247">
        <f t="shared" ref="L54" si="1066">L53</f>
        <v>0</v>
      </c>
      <c r="M54" s="248">
        <f t="shared" ref="M54" si="1067">M53</f>
        <v>0</v>
      </c>
      <c r="N54" s="247">
        <f t="shared" ref="N54" si="1068">N53</f>
        <v>0</v>
      </c>
      <c r="O54" s="247">
        <f t="shared" ref="O54" si="1069">O53</f>
        <v>0</v>
      </c>
      <c r="P54" s="248">
        <f t="shared" ref="P54" si="1070">P53</f>
        <v>0</v>
      </c>
      <c r="Q54" s="247">
        <f t="shared" ref="Q54" si="1071">Q53</f>
        <v>0</v>
      </c>
      <c r="R54" s="247">
        <f t="shared" ref="R54" si="1072">R53</f>
        <v>0</v>
      </c>
      <c r="S54" s="248">
        <f t="shared" ref="S54" si="1073">S53</f>
        <v>0</v>
      </c>
      <c r="T54" s="247">
        <f t="shared" ref="T54" si="1074">T53</f>
        <v>0</v>
      </c>
      <c r="U54" s="247">
        <f t="shared" ref="U54" si="1075">U53</f>
        <v>0</v>
      </c>
      <c r="V54" s="248">
        <f t="shared" ref="V54" si="1076">V53</f>
        <v>0</v>
      </c>
      <c r="W54" s="247">
        <f t="shared" ref="W54" si="1077">W53</f>
        <v>1.5714285714285716</v>
      </c>
      <c r="X54" s="247">
        <f t="shared" ref="X54" si="1078">X53</f>
        <v>0</v>
      </c>
      <c r="Y54" s="248">
        <f t="shared" ref="Y54" si="1079">Y53</f>
        <v>1.5714285714285716</v>
      </c>
      <c r="Z54" s="247">
        <f t="shared" ref="Z54" si="1080">Z53</f>
        <v>0.23529411764705888</v>
      </c>
      <c r="AA54" s="247">
        <f t="shared" ref="AA54" si="1081">AA53</f>
        <v>0</v>
      </c>
      <c r="AB54" s="248">
        <f t="shared" ref="AB54" si="1082">AB53</f>
        <v>0.23529411764705888</v>
      </c>
      <c r="AC54" s="247">
        <f t="shared" ref="AC54" si="1083">AC53</f>
        <v>-0.17195767195767198</v>
      </c>
      <c r="AD54" s="247">
        <f t="shared" ref="AD54" si="1084">AD53</f>
        <v>0</v>
      </c>
      <c r="AE54" s="248">
        <f t="shared" ref="AE54" si="1085">AE53</f>
        <v>-0.16137566137566139</v>
      </c>
      <c r="AF54" s="247">
        <f t="shared" ref="AF54" si="1086">AF53</f>
        <v>0.27156549520766782</v>
      </c>
      <c r="AG54" s="247">
        <f t="shared" ref="AG54" si="1087">AG53</f>
        <v>3</v>
      </c>
      <c r="AH54" s="248">
        <f t="shared" ref="AH54" si="1088">AH53</f>
        <v>0.30599369085173511</v>
      </c>
      <c r="AI54" s="249">
        <f>AI53</f>
        <v>-0.83919597989949746</v>
      </c>
      <c r="AJ54" s="249">
        <f t="shared" ref="AJ54" si="1089">AJ53</f>
        <v>-0.6875</v>
      </c>
      <c r="AK54" s="249">
        <f t="shared" ref="AK54" si="1090">AK53</f>
        <v>-0.83333333333333337</v>
      </c>
      <c r="AL54" s="249">
        <f t="shared" ref="AL54" si="1091">AL53</f>
        <v>0.21875</v>
      </c>
      <c r="AM54" s="249">
        <f t="shared" ref="AM54" si="1092">AM53</f>
        <v>-0.19999999999999996</v>
      </c>
      <c r="AN54" s="249">
        <f t="shared" ref="AN54" si="1093">AN53</f>
        <v>0.18840579710144922</v>
      </c>
      <c r="AO54" s="249">
        <f t="shared" ref="AO54" si="1094">AO53</f>
        <v>0.12820512820512819</v>
      </c>
      <c r="AP54" s="249">
        <f t="shared" ref="AP54" si="1095">AP53</f>
        <v>0.5</v>
      </c>
      <c r="AQ54" s="249">
        <f t="shared" ref="AQ54" si="1096">AQ53</f>
        <v>0.14634146341463405</v>
      </c>
      <c r="AR54" s="249">
        <f t="shared" ref="AR54" si="1097">AR53</f>
        <v>-0.17045454545454541</v>
      </c>
      <c r="AS54" s="249">
        <f t="shared" ref="AS54" si="1098">AS53</f>
        <v>-0.16666666666666663</v>
      </c>
      <c r="AT54" s="249">
        <f t="shared" ref="AT54" si="1099">AT53</f>
        <v>-0.17021276595744683</v>
      </c>
      <c r="AU54" s="250">
        <f>AU53</f>
        <v>-0.2386934673366834</v>
      </c>
      <c r="AV54" s="250">
        <f t="shared" ref="AV54" si="1100">AV53</f>
        <v>0.25</v>
      </c>
      <c r="AW54" s="248">
        <f t="shared" ref="AW54" si="1101">AW53</f>
        <v>-0.21980676328502413</v>
      </c>
      <c r="AX54" s="278"/>
      <c r="AY54" s="278"/>
      <c r="AZ54" s="236"/>
      <c r="BA54" s="236"/>
      <c r="BB54" s="240"/>
      <c r="BC54" s="236"/>
      <c r="BD54" s="236"/>
      <c r="BE54" s="240"/>
      <c r="BF54" s="236"/>
      <c r="BG54" s="236"/>
      <c r="BH54" s="240"/>
      <c r="BI54" s="236"/>
      <c r="BJ54" s="236"/>
      <c r="BK54" s="240"/>
      <c r="BL54" s="236"/>
      <c r="BM54" s="236"/>
      <c r="BN54" s="240"/>
    </row>
    <row r="55" spans="1:66" x14ac:dyDescent="0.35">
      <c r="A55" s="69" t="s">
        <v>33</v>
      </c>
      <c r="B55" s="2"/>
      <c r="C55" s="2"/>
      <c r="D55" s="2"/>
      <c r="E55" s="259">
        <v>0</v>
      </c>
      <c r="F55" s="259">
        <v>0</v>
      </c>
      <c r="G55" s="260">
        <f>E55+F55</f>
        <v>0</v>
      </c>
      <c r="H55" s="259">
        <v>0</v>
      </c>
      <c r="I55" s="259">
        <v>0</v>
      </c>
      <c r="J55" s="260">
        <f>H55+I55</f>
        <v>0</v>
      </c>
      <c r="K55" s="259">
        <v>0</v>
      </c>
      <c r="L55" s="259">
        <v>0</v>
      </c>
      <c r="M55" s="260">
        <f>K55+L55</f>
        <v>0</v>
      </c>
      <c r="N55" s="259">
        <v>0</v>
      </c>
      <c r="O55" s="259">
        <v>0</v>
      </c>
      <c r="P55" s="260">
        <f>N55+O55</f>
        <v>0</v>
      </c>
      <c r="Q55" s="259">
        <v>0</v>
      </c>
      <c r="R55" s="259">
        <v>0</v>
      </c>
      <c r="S55" s="260">
        <f>Q55+R55</f>
        <v>0</v>
      </c>
      <c r="T55" s="259">
        <v>0</v>
      </c>
      <c r="U55" s="259">
        <v>55</v>
      </c>
      <c r="V55" s="260">
        <f>T55+U55</f>
        <v>55</v>
      </c>
      <c r="W55" s="259">
        <v>0</v>
      </c>
      <c r="X55" s="259">
        <v>0</v>
      </c>
      <c r="Y55" s="260">
        <f>W55+X55</f>
        <v>0</v>
      </c>
      <c r="Z55" s="259">
        <v>0</v>
      </c>
      <c r="AA55" s="259">
        <v>0</v>
      </c>
      <c r="AB55" s="260">
        <f>Z55+AA55</f>
        <v>0</v>
      </c>
      <c r="AC55" s="259">
        <v>0</v>
      </c>
      <c r="AD55" s="259">
        <v>0</v>
      </c>
      <c r="AE55" s="260">
        <f>AC55+AD55</f>
        <v>0</v>
      </c>
      <c r="AF55" s="259">
        <v>0</v>
      </c>
      <c r="AG55" s="259">
        <v>0</v>
      </c>
      <c r="AH55" s="260">
        <f>AF55+AG55</f>
        <v>0</v>
      </c>
      <c r="AI55" s="6">
        <v>0</v>
      </c>
      <c r="AJ55" s="6">
        <v>0</v>
      </c>
      <c r="AK55" s="5">
        <f>AJ55+AI55</f>
        <v>0</v>
      </c>
      <c r="AL55" s="6">
        <v>0</v>
      </c>
      <c r="AM55" s="6">
        <v>0</v>
      </c>
      <c r="AN55" s="5">
        <f>AM55+AL55</f>
        <v>0</v>
      </c>
      <c r="AO55" s="6">
        <v>0</v>
      </c>
      <c r="AP55" s="6">
        <v>0</v>
      </c>
      <c r="AQ55" s="5">
        <f>AP55+AO55</f>
        <v>0</v>
      </c>
      <c r="AR55" s="6">
        <v>0</v>
      </c>
      <c r="AS55" s="6">
        <v>0</v>
      </c>
      <c r="AT55" s="5">
        <f>AS55+AR55</f>
        <v>0</v>
      </c>
      <c r="AU55" s="259">
        <f>AI55+AL55+AO55+AR55</f>
        <v>0</v>
      </c>
      <c r="AV55" s="259">
        <f>AJ55+AM55+AP55+AS55</f>
        <v>0</v>
      </c>
      <c r="AW55" s="260">
        <f>AU55+AV55</f>
        <v>0</v>
      </c>
      <c r="AX55" s="277"/>
      <c r="AY55" s="277"/>
      <c r="AZ55" s="259">
        <f>AU55*(1+AX56)</f>
        <v>0</v>
      </c>
      <c r="BA55" s="259">
        <f>AV55*(1+AY56)</f>
        <v>0</v>
      </c>
      <c r="BB55" s="260">
        <f>AZ55+BA55</f>
        <v>0</v>
      </c>
      <c r="BC55" s="259">
        <f>AZ55*(1+$AX56)</f>
        <v>0</v>
      </c>
      <c r="BD55" s="259">
        <f>BA55*(1+$AY56)</f>
        <v>0</v>
      </c>
      <c r="BE55" s="260">
        <f>BC55+BD55</f>
        <v>0</v>
      </c>
      <c r="BF55" s="259">
        <f>BC55*(1+$AX56)</f>
        <v>0</v>
      </c>
      <c r="BG55" s="259">
        <f>BD55*(1+$AY56)</f>
        <v>0</v>
      </c>
      <c r="BH55" s="260">
        <f>BF55+BG55</f>
        <v>0</v>
      </c>
      <c r="BI55" s="259">
        <f>BF55*(1+$AX56)</f>
        <v>0</v>
      </c>
      <c r="BJ55" s="259">
        <f>BG55*(1+$AY56)</f>
        <v>0</v>
      </c>
      <c r="BK55" s="260">
        <f>BI55+BJ55</f>
        <v>0</v>
      </c>
      <c r="BL55" s="259">
        <f>BI55*(1+$AX56)</f>
        <v>0</v>
      </c>
      <c r="BM55" s="259">
        <f>BJ55*(1+$AY56)</f>
        <v>0</v>
      </c>
      <c r="BN55" s="260">
        <f>BL55+BM55</f>
        <v>0</v>
      </c>
    </row>
    <row r="56" spans="1:66" x14ac:dyDescent="0.35">
      <c r="A56" s="241" t="s">
        <v>28</v>
      </c>
      <c r="E56" s="53"/>
      <c r="F56" s="53"/>
      <c r="G56" s="242"/>
      <c r="H56" s="53">
        <f t="shared" ref="H56" si="1102">IFERROR(H55/E55-1,0)</f>
        <v>0</v>
      </c>
      <c r="I56" s="53">
        <f t="shared" ref="I56" si="1103">IFERROR(I55/F55-1,0)</f>
        <v>0</v>
      </c>
      <c r="J56" s="242">
        <f t="shared" ref="J56" si="1104">IFERROR(J55/G55-1,0)</f>
        <v>0</v>
      </c>
      <c r="K56" s="53">
        <f>IFERROR(K55/H55-1,0)</f>
        <v>0</v>
      </c>
      <c r="L56" s="53">
        <f t="shared" ref="L56" si="1105">IFERROR(L55/I55-1,0)</f>
        <v>0</v>
      </c>
      <c r="M56" s="242">
        <f t="shared" ref="M56" si="1106">IFERROR(M55/J55-1,0)</f>
        <v>0</v>
      </c>
      <c r="N56" s="53">
        <f t="shared" ref="N56" si="1107">IFERROR(N55/K55-1,0)</f>
        <v>0</v>
      </c>
      <c r="O56" s="53">
        <f t="shared" ref="O56" si="1108">IFERROR(O55/L55-1,0)</f>
        <v>0</v>
      </c>
      <c r="P56" s="242">
        <f t="shared" ref="P56" si="1109">IFERROR(P55/M55-1,0)</f>
        <v>0</v>
      </c>
      <c r="Q56" s="53">
        <f t="shared" ref="Q56" si="1110">IFERROR(Q55/N55-1,0)</f>
        <v>0</v>
      </c>
      <c r="R56" s="53">
        <f t="shared" ref="R56" si="1111">IFERROR(R55/O55-1,0)</f>
        <v>0</v>
      </c>
      <c r="S56" s="242">
        <f t="shared" ref="S56" si="1112">IFERROR(S55/P55-1,0)</f>
        <v>0</v>
      </c>
      <c r="T56" s="53">
        <f t="shared" ref="T56" si="1113">IFERROR(T55/Q55-1,0)</f>
        <v>0</v>
      </c>
      <c r="U56" s="53">
        <f t="shared" ref="U56" si="1114">IFERROR(U55/R55-1,0)</f>
        <v>0</v>
      </c>
      <c r="V56" s="242">
        <f t="shared" ref="V56" si="1115">IFERROR(V55/S55-1,0)</f>
        <v>0</v>
      </c>
      <c r="W56" s="53">
        <f t="shared" ref="W56" si="1116">IFERROR(W55/T55-1,0)</f>
        <v>0</v>
      </c>
      <c r="X56" s="53">
        <f t="shared" ref="X56" si="1117">IFERROR(X55/U55-1,0)</f>
        <v>-1</v>
      </c>
      <c r="Y56" s="242">
        <f t="shared" ref="Y56" si="1118">IFERROR(Y55/V55-1,0)</f>
        <v>-1</v>
      </c>
      <c r="Z56" s="53">
        <f t="shared" ref="Z56" si="1119">IFERROR(Z55/W55-1,0)</f>
        <v>0</v>
      </c>
      <c r="AA56" s="53">
        <f t="shared" ref="AA56" si="1120">IFERROR(AA55/X55-1,0)</f>
        <v>0</v>
      </c>
      <c r="AB56" s="242">
        <f t="shared" ref="AB56" si="1121">IFERROR(AB55/Y55-1,0)</f>
        <v>0</v>
      </c>
      <c r="AC56" s="53">
        <f t="shared" ref="AC56" si="1122">IFERROR(AC55/Z55-1,0)</f>
        <v>0</v>
      </c>
      <c r="AD56" s="53">
        <f t="shared" ref="AD56" si="1123">IFERROR(AD55/AA55-1,0)</f>
        <v>0</v>
      </c>
      <c r="AE56" s="242">
        <f t="shared" ref="AE56" si="1124">IFERROR(AE55/AB55-1,0)</f>
        <v>0</v>
      </c>
      <c r="AF56" s="53">
        <f t="shared" ref="AF56" si="1125">IFERROR(AF55/AC55-1,0)</f>
        <v>0</v>
      </c>
      <c r="AG56" s="53">
        <f t="shared" ref="AG56" si="1126">IFERROR(AG55/AD55-1,0)</f>
        <v>0</v>
      </c>
      <c r="AH56" s="242">
        <f t="shared" ref="AH56" si="1127">IFERROR(AH55/AE55-1,0)</f>
        <v>0</v>
      </c>
      <c r="AI56" s="53">
        <f>IFERROR(AI55/AF55-1,0)</f>
        <v>0</v>
      </c>
      <c r="AJ56" s="53">
        <f t="shared" ref="AJ56:AK56" si="1128">IFERROR(AJ55/AG55-1,0)</f>
        <v>0</v>
      </c>
      <c r="AK56" s="242">
        <f t="shared" si="1128"/>
        <v>0</v>
      </c>
      <c r="AL56" s="53">
        <f t="shared" ref="AL56" si="1129">IFERROR(AL55/AI55-1,0)</f>
        <v>0</v>
      </c>
      <c r="AM56" s="53">
        <f t="shared" ref="AM56:AN56" si="1130">IFERROR(AM55/AJ55-1,0)</f>
        <v>0</v>
      </c>
      <c r="AN56" s="242">
        <f t="shared" si="1130"/>
        <v>0</v>
      </c>
      <c r="AO56" s="53">
        <f t="shared" ref="AO56" si="1131">IFERROR(AO55/AL55-1,0)</f>
        <v>0</v>
      </c>
      <c r="AP56" s="53">
        <f t="shared" ref="AP56" si="1132">IFERROR(AP55/AM55-1,0)</f>
        <v>0</v>
      </c>
      <c r="AQ56" s="242">
        <f t="shared" ref="AQ56:AT56" si="1133">IFERROR(AQ55/AN55-1,0)</f>
        <v>0</v>
      </c>
      <c r="AR56" s="53">
        <f t="shared" ref="AR56" si="1134">IFERROR(AR55/AO55-1,0)</f>
        <v>0</v>
      </c>
      <c r="AS56" s="53">
        <f t="shared" si="1133"/>
        <v>0</v>
      </c>
      <c r="AT56" s="242">
        <f t="shared" si="1133"/>
        <v>0</v>
      </c>
      <c r="AU56" s="283">
        <f t="shared" ref="AU56" si="1135">IFERROR(AU55/AR55-1,0)</f>
        <v>0</v>
      </c>
      <c r="AV56" s="283">
        <f t="shared" ref="AV56" si="1136">IFERROR(AV55/AS55-1,0)</f>
        <v>0</v>
      </c>
      <c r="AW56" s="242">
        <f t="shared" ref="AW56" si="1137">IFERROR(AW55/AT55-1,0)</f>
        <v>0</v>
      </c>
      <c r="AX56" s="210">
        <f>AVERAGE(W56,Z56,AC56,AF56,AU56)</f>
        <v>0</v>
      </c>
      <c r="AY56" s="210">
        <v>0</v>
      </c>
      <c r="AZ56" s="236"/>
      <c r="BA56" s="236"/>
      <c r="BB56" s="240"/>
      <c r="BC56" s="236"/>
      <c r="BD56" s="236"/>
      <c r="BE56" s="240"/>
      <c r="BF56" s="236"/>
      <c r="BG56" s="236"/>
      <c r="BH56" s="240"/>
      <c r="BI56" s="236"/>
      <c r="BJ56" s="236"/>
      <c r="BK56" s="240"/>
      <c r="BL56" s="236"/>
      <c r="BM56" s="236"/>
      <c r="BN56" s="240"/>
    </row>
    <row r="57" spans="1:66" x14ac:dyDescent="0.35">
      <c r="A57" s="244" t="s">
        <v>29</v>
      </c>
      <c r="E57" s="236"/>
      <c r="F57" s="236"/>
      <c r="G57" s="240"/>
      <c r="H57" s="247">
        <f>H56</f>
        <v>0</v>
      </c>
      <c r="I57" s="247">
        <f t="shared" ref="I57" si="1138">I56</f>
        <v>0</v>
      </c>
      <c r="J57" s="248">
        <f t="shared" ref="J57" si="1139">J56</f>
        <v>0</v>
      </c>
      <c r="K57" s="247">
        <f t="shared" ref="K57" si="1140">K56</f>
        <v>0</v>
      </c>
      <c r="L57" s="247">
        <f t="shared" ref="L57" si="1141">L56</f>
        <v>0</v>
      </c>
      <c r="M57" s="248">
        <f t="shared" ref="M57" si="1142">M56</f>
        <v>0</v>
      </c>
      <c r="N57" s="247">
        <f t="shared" ref="N57" si="1143">N56</f>
        <v>0</v>
      </c>
      <c r="O57" s="247">
        <f t="shared" ref="O57" si="1144">O56</f>
        <v>0</v>
      </c>
      <c r="P57" s="248">
        <f t="shared" ref="P57" si="1145">P56</f>
        <v>0</v>
      </c>
      <c r="Q57" s="247">
        <f t="shared" ref="Q57" si="1146">Q56</f>
        <v>0</v>
      </c>
      <c r="R57" s="247">
        <f t="shared" ref="R57" si="1147">R56</f>
        <v>0</v>
      </c>
      <c r="S57" s="248">
        <f t="shared" ref="S57" si="1148">S56</f>
        <v>0</v>
      </c>
      <c r="T57" s="247">
        <f t="shared" ref="T57" si="1149">T56</f>
        <v>0</v>
      </c>
      <c r="U57" s="247">
        <f t="shared" ref="U57" si="1150">U56</f>
        <v>0</v>
      </c>
      <c r="V57" s="248">
        <f t="shared" ref="V57" si="1151">V56</f>
        <v>0</v>
      </c>
      <c r="W57" s="247">
        <f t="shared" ref="W57" si="1152">W56</f>
        <v>0</v>
      </c>
      <c r="X57" s="247">
        <f t="shared" ref="X57" si="1153">X56</f>
        <v>-1</v>
      </c>
      <c r="Y57" s="248">
        <f t="shared" ref="Y57" si="1154">Y56</f>
        <v>-1</v>
      </c>
      <c r="Z57" s="247">
        <f t="shared" ref="Z57" si="1155">Z56</f>
        <v>0</v>
      </c>
      <c r="AA57" s="247">
        <f t="shared" ref="AA57" si="1156">AA56</f>
        <v>0</v>
      </c>
      <c r="AB57" s="248">
        <f t="shared" ref="AB57" si="1157">AB56</f>
        <v>0</v>
      </c>
      <c r="AC57" s="247">
        <f t="shared" ref="AC57" si="1158">AC56</f>
        <v>0</v>
      </c>
      <c r="AD57" s="247">
        <f t="shared" ref="AD57" si="1159">AD56</f>
        <v>0</v>
      </c>
      <c r="AE57" s="248">
        <f t="shared" ref="AE57" si="1160">AE56</f>
        <v>0</v>
      </c>
      <c r="AF57" s="247">
        <f t="shared" ref="AF57" si="1161">AF56</f>
        <v>0</v>
      </c>
      <c r="AG57" s="247">
        <f t="shared" ref="AG57" si="1162">AG56</f>
        <v>0</v>
      </c>
      <c r="AH57" s="248">
        <f t="shared" ref="AH57" si="1163">AH56</f>
        <v>0</v>
      </c>
      <c r="AI57" s="249">
        <f>AI56</f>
        <v>0</v>
      </c>
      <c r="AJ57" s="249">
        <f t="shared" ref="AJ57" si="1164">AJ56</f>
        <v>0</v>
      </c>
      <c r="AK57" s="249">
        <f t="shared" ref="AK57" si="1165">AK56</f>
        <v>0</v>
      </c>
      <c r="AL57" s="249">
        <f t="shared" ref="AL57" si="1166">AL56</f>
        <v>0</v>
      </c>
      <c r="AM57" s="249">
        <f t="shared" ref="AM57" si="1167">AM56</f>
        <v>0</v>
      </c>
      <c r="AN57" s="249">
        <f t="shared" ref="AN57" si="1168">AN56</f>
        <v>0</v>
      </c>
      <c r="AO57" s="249">
        <f t="shared" ref="AO57" si="1169">AO56</f>
        <v>0</v>
      </c>
      <c r="AP57" s="249">
        <f t="shared" ref="AP57" si="1170">AP56</f>
        <v>0</v>
      </c>
      <c r="AQ57" s="249">
        <f t="shared" ref="AQ57" si="1171">AQ56</f>
        <v>0</v>
      </c>
      <c r="AR57" s="249">
        <f t="shared" ref="AR57" si="1172">AR56</f>
        <v>0</v>
      </c>
      <c r="AS57" s="249">
        <f t="shared" ref="AS57" si="1173">AS56</f>
        <v>0</v>
      </c>
      <c r="AT57" s="249">
        <f t="shared" ref="AT57" si="1174">AT56</f>
        <v>0</v>
      </c>
      <c r="AU57" s="250">
        <f t="shared" ref="AU57" si="1175">AU56</f>
        <v>0</v>
      </c>
      <c r="AV57" s="250">
        <f t="shared" ref="AV57" si="1176">AV56</f>
        <v>0</v>
      </c>
      <c r="AW57" s="248">
        <f t="shared" ref="AW57" si="1177">AW56</f>
        <v>0</v>
      </c>
      <c r="AX57" s="278"/>
      <c r="AY57" s="278"/>
      <c r="AZ57" s="236"/>
      <c r="BA57" s="236"/>
      <c r="BB57" s="240"/>
      <c r="BC57" s="236"/>
      <c r="BD57" s="236"/>
      <c r="BE57" s="240"/>
      <c r="BF57" s="236"/>
      <c r="BG57" s="236"/>
      <c r="BH57" s="240"/>
      <c r="BI57" s="236"/>
      <c r="BJ57" s="236"/>
      <c r="BK57" s="240"/>
      <c r="BL57" s="236"/>
      <c r="BM57" s="236"/>
      <c r="BN57" s="240"/>
    </row>
    <row r="58" spans="1:66" x14ac:dyDescent="0.35">
      <c r="A58" s="69" t="s">
        <v>41</v>
      </c>
      <c r="B58" s="2"/>
      <c r="C58" s="2"/>
      <c r="D58" s="2"/>
      <c r="E58" s="259">
        <v>0</v>
      </c>
      <c r="F58" s="259">
        <v>0</v>
      </c>
      <c r="G58" s="260">
        <f>E58+F58</f>
        <v>0</v>
      </c>
      <c r="H58" s="259">
        <v>0</v>
      </c>
      <c r="I58" s="259">
        <v>0</v>
      </c>
      <c r="J58" s="260">
        <f>H58+I58</f>
        <v>0</v>
      </c>
      <c r="K58" s="259">
        <v>0</v>
      </c>
      <c r="L58" s="259">
        <v>0</v>
      </c>
      <c r="M58" s="260">
        <f>K58+L58</f>
        <v>0</v>
      </c>
      <c r="N58" s="259">
        <v>0</v>
      </c>
      <c r="O58" s="259">
        <v>0</v>
      </c>
      <c r="P58" s="260">
        <f>N58+O58</f>
        <v>0</v>
      </c>
      <c r="Q58" s="259">
        <v>0</v>
      </c>
      <c r="R58" s="259">
        <v>0</v>
      </c>
      <c r="S58" s="260">
        <f>Q58+R58</f>
        <v>0</v>
      </c>
      <c r="T58" s="259">
        <v>0</v>
      </c>
      <c r="U58" s="259">
        <v>0</v>
      </c>
      <c r="V58" s="260">
        <f>T58+U58</f>
        <v>0</v>
      </c>
      <c r="W58" s="259">
        <v>0</v>
      </c>
      <c r="X58" s="259">
        <v>0</v>
      </c>
      <c r="Y58" s="260">
        <f>W58+X58</f>
        <v>0</v>
      </c>
      <c r="Z58" s="259">
        <v>0</v>
      </c>
      <c r="AA58" s="259">
        <v>0</v>
      </c>
      <c r="AB58" s="260">
        <f>Z58+AA58</f>
        <v>0</v>
      </c>
      <c r="AC58" s="259">
        <v>0</v>
      </c>
      <c r="AD58" s="259">
        <v>0</v>
      </c>
      <c r="AE58" s="260">
        <f>AC58+AD58</f>
        <v>0</v>
      </c>
      <c r="AF58" s="259">
        <v>170</v>
      </c>
      <c r="AG58" s="259">
        <f>-AF1104</f>
        <v>0</v>
      </c>
      <c r="AH58" s="260">
        <f>AF58+AG58</f>
        <v>170</v>
      </c>
      <c r="AI58" s="6">
        <v>96</v>
      </c>
      <c r="AJ58" s="6">
        <v>0</v>
      </c>
      <c r="AK58" s="5">
        <f>AJ58+AI58</f>
        <v>96</v>
      </c>
      <c r="AL58" s="6">
        <v>133</v>
      </c>
      <c r="AM58" s="6">
        <v>0</v>
      </c>
      <c r="AN58" s="5">
        <f>AM58+AL58</f>
        <v>133</v>
      </c>
      <c r="AO58" s="6">
        <v>161</v>
      </c>
      <c r="AP58" s="6">
        <v>0</v>
      </c>
      <c r="AQ58" s="5">
        <f>AP58+AO58</f>
        <v>161</v>
      </c>
      <c r="AR58" s="6">
        <v>177</v>
      </c>
      <c r="AS58" s="6">
        <v>0</v>
      </c>
      <c r="AT58" s="5">
        <f>AS58+AR58</f>
        <v>177</v>
      </c>
      <c r="AU58" s="259">
        <f>AI58+AL58+AO58+AR58</f>
        <v>567</v>
      </c>
      <c r="AV58" s="259">
        <f>AJ58+AM58+AP58+AS58</f>
        <v>0</v>
      </c>
      <c r="AW58" s="260">
        <f>AU58+AV58</f>
        <v>567</v>
      </c>
      <c r="AX58" s="277"/>
      <c r="AY58" s="277"/>
      <c r="AZ58" s="259">
        <f>AU58*(1+AX59+0.1)</f>
        <v>737.1</v>
      </c>
      <c r="BA58" s="259">
        <f>AV58*(1+AY59)</f>
        <v>0</v>
      </c>
      <c r="BB58" s="260">
        <f>AZ58+BA58</f>
        <v>737.1</v>
      </c>
      <c r="BC58" s="259">
        <f>AZ58*(1+$AX59-0.1)</f>
        <v>810.81</v>
      </c>
      <c r="BD58" s="259">
        <f>BA58*(1+$AY59)</f>
        <v>0</v>
      </c>
      <c r="BE58" s="260">
        <f>BC58+BD58</f>
        <v>810.81</v>
      </c>
      <c r="BF58" s="259">
        <f>BC58*(1+$AX59)</f>
        <v>972.97199999999987</v>
      </c>
      <c r="BG58" s="259">
        <f>BD58*(1+$AY59)</f>
        <v>0</v>
      </c>
      <c r="BH58" s="260">
        <f>BF58+BG58</f>
        <v>972.97199999999987</v>
      </c>
      <c r="BI58" s="259">
        <f>BF58*(1+$AX59-0.24)</f>
        <v>934.05311999999981</v>
      </c>
      <c r="BJ58" s="259">
        <f>BG58*(1+$AY59)</f>
        <v>0</v>
      </c>
      <c r="BK58" s="260">
        <f>BI58+BJ58</f>
        <v>934.05311999999981</v>
      </c>
      <c r="BL58" s="259">
        <f>BI58*(1+$AX59-0.2)</f>
        <v>934.05311999999981</v>
      </c>
      <c r="BM58" s="259">
        <f>BJ58*(1+$AY59)</f>
        <v>0</v>
      </c>
      <c r="BN58" s="260">
        <f>BL58+BM58</f>
        <v>934.05311999999981</v>
      </c>
    </row>
    <row r="59" spans="1:66" x14ac:dyDescent="0.35">
      <c r="A59" s="241" t="s">
        <v>28</v>
      </c>
      <c r="E59" s="53"/>
      <c r="F59" s="53"/>
      <c r="G59" s="242"/>
      <c r="H59" s="53">
        <f t="shared" ref="H59" si="1178">IFERROR(H58/E58-1,0)</f>
        <v>0</v>
      </c>
      <c r="I59" s="53">
        <f t="shared" ref="I59" si="1179">IFERROR(I58/F58-1,0)</f>
        <v>0</v>
      </c>
      <c r="J59" s="242">
        <f t="shared" ref="J59" si="1180">IFERROR(J58/G58-1,0)</f>
        <v>0</v>
      </c>
      <c r="K59" s="53">
        <f>IFERROR(K58/H58-1,0)</f>
        <v>0</v>
      </c>
      <c r="L59" s="53">
        <f t="shared" ref="L59" si="1181">IFERROR(L58/I58-1,0)</f>
        <v>0</v>
      </c>
      <c r="M59" s="242">
        <f t="shared" ref="M59" si="1182">IFERROR(M58/J58-1,0)</f>
        <v>0</v>
      </c>
      <c r="N59" s="53">
        <f t="shared" ref="N59" si="1183">IFERROR(N58/K58-1,0)</f>
        <v>0</v>
      </c>
      <c r="O59" s="53">
        <f t="shared" ref="O59" si="1184">IFERROR(O58/L58-1,0)</f>
        <v>0</v>
      </c>
      <c r="P59" s="242">
        <f t="shared" ref="P59" si="1185">IFERROR(P58/M58-1,0)</f>
        <v>0</v>
      </c>
      <c r="Q59" s="53">
        <f t="shared" ref="Q59" si="1186">IFERROR(Q58/N58-1,0)</f>
        <v>0</v>
      </c>
      <c r="R59" s="53">
        <f t="shared" ref="R59" si="1187">IFERROR(R58/O58-1,0)</f>
        <v>0</v>
      </c>
      <c r="S59" s="242">
        <f t="shared" ref="S59" si="1188">IFERROR(S58/P58-1,0)</f>
        <v>0</v>
      </c>
      <c r="T59" s="53">
        <f t="shared" ref="T59" si="1189">IFERROR(T58/Q58-1,0)</f>
        <v>0</v>
      </c>
      <c r="U59" s="53">
        <f t="shared" ref="U59" si="1190">IFERROR(U58/R58-1,0)</f>
        <v>0</v>
      </c>
      <c r="V59" s="242">
        <f t="shared" ref="V59" si="1191">IFERROR(V58/S58-1,0)</f>
        <v>0</v>
      </c>
      <c r="W59" s="53">
        <f t="shared" ref="W59" si="1192">IFERROR(W58/T58-1,0)</f>
        <v>0</v>
      </c>
      <c r="X59" s="53">
        <f t="shared" ref="X59" si="1193">IFERROR(X58/U58-1,0)</f>
        <v>0</v>
      </c>
      <c r="Y59" s="242">
        <f t="shared" ref="Y59" si="1194">IFERROR(Y58/V58-1,0)</f>
        <v>0</v>
      </c>
      <c r="Z59" s="53">
        <f t="shared" ref="Z59" si="1195">IFERROR(Z58/W58-1,0)</f>
        <v>0</v>
      </c>
      <c r="AA59" s="53">
        <f t="shared" ref="AA59" si="1196">IFERROR(AA58/X58-1,0)</f>
        <v>0</v>
      </c>
      <c r="AB59" s="242">
        <f t="shared" ref="AB59" si="1197">IFERROR(AB58/Y58-1,0)</f>
        <v>0</v>
      </c>
      <c r="AC59" s="53">
        <f t="shared" ref="AC59" si="1198">IFERROR(AC58/Z58-1,0)</f>
        <v>0</v>
      </c>
      <c r="AD59" s="53">
        <f t="shared" ref="AD59" si="1199">IFERROR(AD58/AA58-1,0)</f>
        <v>0</v>
      </c>
      <c r="AE59" s="242">
        <f t="shared" ref="AE59" si="1200">IFERROR(AE58/AB58-1,0)</f>
        <v>0</v>
      </c>
      <c r="AF59" s="53">
        <f t="shared" ref="AF59" si="1201">IFERROR(AF58/AC58-1,0)</f>
        <v>0</v>
      </c>
      <c r="AG59" s="53">
        <f t="shared" ref="AG59" si="1202">IFERROR(AG58/AD58-1,0)</f>
        <v>0</v>
      </c>
      <c r="AH59" s="242">
        <f t="shared" ref="AH59" si="1203">IFERROR(AH58/AE58-1,0)</f>
        <v>0</v>
      </c>
      <c r="AI59" s="53">
        <f>IFERROR(AI58/AF58-1,0)</f>
        <v>-0.43529411764705883</v>
      </c>
      <c r="AJ59" s="53">
        <f t="shared" ref="AJ59:AK59" si="1204">IFERROR(AJ58/AG58-1,0)</f>
        <v>0</v>
      </c>
      <c r="AK59" s="242">
        <f t="shared" si="1204"/>
        <v>-0.43529411764705883</v>
      </c>
      <c r="AL59" s="53">
        <f t="shared" ref="AL59" si="1205">IFERROR(AL58/AI58-1,0)</f>
        <v>0.38541666666666674</v>
      </c>
      <c r="AM59" s="53">
        <f t="shared" ref="AM59:AN59" si="1206">IFERROR(AM58/AJ58-1,0)</f>
        <v>0</v>
      </c>
      <c r="AN59" s="242">
        <f t="shared" si="1206"/>
        <v>0.38541666666666674</v>
      </c>
      <c r="AO59" s="53">
        <f t="shared" ref="AO59" si="1207">IFERROR(AO58/AL58-1,0)</f>
        <v>0.21052631578947367</v>
      </c>
      <c r="AP59" s="53">
        <f t="shared" ref="AP59" si="1208">IFERROR(AP58/AM58-1,0)</f>
        <v>0</v>
      </c>
      <c r="AQ59" s="242">
        <f t="shared" ref="AQ59:AT59" si="1209">IFERROR(AQ58/AN58-1,0)</f>
        <v>0.21052631578947367</v>
      </c>
      <c r="AR59" s="53">
        <f t="shared" ref="AR59" si="1210">IFERROR(AR58/AO58-1,0)</f>
        <v>9.9378881987577605E-2</v>
      </c>
      <c r="AS59" s="53">
        <f t="shared" si="1209"/>
        <v>0</v>
      </c>
      <c r="AT59" s="242">
        <f t="shared" si="1209"/>
        <v>9.9378881987577605E-2</v>
      </c>
      <c r="AU59" s="283">
        <f>IFERROR(AU58/AF58-1,0)</f>
        <v>2.335294117647059</v>
      </c>
      <c r="AV59" s="283">
        <f t="shared" ref="AV59" si="1211">IFERROR(AV58/AG58-1,0)</f>
        <v>0</v>
      </c>
      <c r="AW59" s="242">
        <f>IFERROR(AW58/AH58-1,0)</f>
        <v>2.335294117647059</v>
      </c>
      <c r="AX59" s="210">
        <v>0.2</v>
      </c>
      <c r="AY59" s="210">
        <f>AVERAGE(X59,AA59,AD59,AG59,AV59)</f>
        <v>0</v>
      </c>
      <c r="AZ59" s="236"/>
      <c r="BA59" s="236"/>
      <c r="BB59" s="240"/>
      <c r="BC59" s="236"/>
      <c r="BD59" s="236"/>
      <c r="BE59" s="240"/>
      <c r="BF59" s="236"/>
      <c r="BG59" s="236"/>
      <c r="BH59" s="240"/>
      <c r="BI59" s="236"/>
      <c r="BJ59" s="236"/>
      <c r="BK59" s="240"/>
      <c r="BL59" s="236"/>
      <c r="BM59" s="236"/>
      <c r="BN59" s="240"/>
    </row>
    <row r="60" spans="1:66" x14ac:dyDescent="0.35">
      <c r="A60" s="244" t="s">
        <v>29</v>
      </c>
      <c r="E60" s="236"/>
      <c r="F60" s="236"/>
      <c r="G60" s="240"/>
      <c r="H60" s="247">
        <f>H59</f>
        <v>0</v>
      </c>
      <c r="I60" s="247">
        <f t="shared" ref="I60" si="1212">I59</f>
        <v>0</v>
      </c>
      <c r="J60" s="248">
        <f t="shared" ref="J60" si="1213">J59</f>
        <v>0</v>
      </c>
      <c r="K60" s="247">
        <f t="shared" ref="K60" si="1214">K59</f>
        <v>0</v>
      </c>
      <c r="L60" s="247">
        <f t="shared" ref="L60" si="1215">L59</f>
        <v>0</v>
      </c>
      <c r="M60" s="248">
        <f t="shared" ref="M60" si="1216">M59</f>
        <v>0</v>
      </c>
      <c r="N60" s="247">
        <f t="shared" ref="N60" si="1217">N59</f>
        <v>0</v>
      </c>
      <c r="O60" s="247">
        <f t="shared" ref="O60" si="1218">O59</f>
        <v>0</v>
      </c>
      <c r="P60" s="248">
        <f t="shared" ref="P60" si="1219">P59</f>
        <v>0</v>
      </c>
      <c r="Q60" s="247">
        <f t="shared" ref="Q60" si="1220">Q59</f>
        <v>0</v>
      </c>
      <c r="R60" s="247">
        <f t="shared" ref="R60" si="1221">R59</f>
        <v>0</v>
      </c>
      <c r="S60" s="248">
        <f t="shared" ref="S60" si="1222">S59</f>
        <v>0</v>
      </c>
      <c r="T60" s="247">
        <f t="shared" ref="T60" si="1223">T59</f>
        <v>0</v>
      </c>
      <c r="U60" s="247">
        <f t="shared" ref="U60" si="1224">U59</f>
        <v>0</v>
      </c>
      <c r="V60" s="248">
        <f t="shared" ref="V60" si="1225">V59</f>
        <v>0</v>
      </c>
      <c r="W60" s="247">
        <f t="shared" ref="W60" si="1226">W59</f>
        <v>0</v>
      </c>
      <c r="X60" s="247">
        <f t="shared" ref="X60" si="1227">X59</f>
        <v>0</v>
      </c>
      <c r="Y60" s="248">
        <f t="shared" ref="Y60" si="1228">Y59</f>
        <v>0</v>
      </c>
      <c r="Z60" s="247">
        <f t="shared" ref="Z60" si="1229">Z59</f>
        <v>0</v>
      </c>
      <c r="AA60" s="247">
        <f t="shared" ref="AA60" si="1230">AA59</f>
        <v>0</v>
      </c>
      <c r="AB60" s="248">
        <f t="shared" ref="AB60" si="1231">AB59</f>
        <v>0</v>
      </c>
      <c r="AC60" s="247">
        <f t="shared" ref="AC60" si="1232">AC59</f>
        <v>0</v>
      </c>
      <c r="AD60" s="247">
        <f t="shared" ref="AD60" si="1233">AD59</f>
        <v>0</v>
      </c>
      <c r="AE60" s="248">
        <f t="shared" ref="AE60" si="1234">AE59</f>
        <v>0</v>
      </c>
      <c r="AF60" s="247">
        <f t="shared" ref="AF60" si="1235">AF59</f>
        <v>0</v>
      </c>
      <c r="AG60" s="247">
        <f t="shared" ref="AG60" si="1236">AG59</f>
        <v>0</v>
      </c>
      <c r="AH60" s="248">
        <f t="shared" ref="AH60" si="1237">AH59</f>
        <v>0</v>
      </c>
      <c r="AI60" s="249">
        <f>AI59</f>
        <v>-0.43529411764705883</v>
      </c>
      <c r="AJ60" s="249">
        <f t="shared" ref="AJ60" si="1238">AJ59</f>
        <v>0</v>
      </c>
      <c r="AK60" s="249">
        <f t="shared" ref="AK60" si="1239">AK59</f>
        <v>-0.43529411764705883</v>
      </c>
      <c r="AL60" s="249">
        <f t="shared" ref="AL60" si="1240">AL59</f>
        <v>0.38541666666666674</v>
      </c>
      <c r="AM60" s="249">
        <f t="shared" ref="AM60" si="1241">AM59</f>
        <v>0</v>
      </c>
      <c r="AN60" s="249">
        <f t="shared" ref="AN60" si="1242">AN59</f>
        <v>0.38541666666666674</v>
      </c>
      <c r="AO60" s="249">
        <f t="shared" ref="AO60" si="1243">AO59</f>
        <v>0.21052631578947367</v>
      </c>
      <c r="AP60" s="249">
        <f t="shared" ref="AP60" si="1244">AP59</f>
        <v>0</v>
      </c>
      <c r="AQ60" s="249">
        <f t="shared" ref="AQ60" si="1245">AQ59</f>
        <v>0.21052631578947367</v>
      </c>
      <c r="AR60" s="249">
        <f t="shared" ref="AR60" si="1246">AR59</f>
        <v>9.9378881987577605E-2</v>
      </c>
      <c r="AS60" s="249">
        <f t="shared" ref="AS60" si="1247">AS59</f>
        <v>0</v>
      </c>
      <c r="AT60" s="249">
        <f t="shared" ref="AT60" si="1248">AT59</f>
        <v>9.9378881987577605E-2</v>
      </c>
      <c r="AU60" s="250">
        <f>AU59</f>
        <v>2.335294117647059</v>
      </c>
      <c r="AV60" s="250">
        <f t="shared" ref="AV60" si="1249">AV59</f>
        <v>0</v>
      </c>
      <c r="AW60" s="248">
        <f t="shared" ref="AW60" si="1250">AW59</f>
        <v>2.335294117647059</v>
      </c>
      <c r="AX60" s="278"/>
      <c r="AY60" s="278"/>
      <c r="AZ60" s="236"/>
      <c r="BA60" s="236"/>
      <c r="BB60" s="240"/>
      <c r="BC60" s="236"/>
      <c r="BD60" s="236"/>
      <c r="BE60" s="240"/>
      <c r="BF60" s="236"/>
      <c r="BG60" s="236"/>
      <c r="BH60" s="240"/>
      <c r="BI60" s="236"/>
      <c r="BJ60" s="236"/>
      <c r="BK60" s="240"/>
      <c r="BL60" s="236"/>
      <c r="BM60" s="236"/>
      <c r="BN60" s="240"/>
    </row>
    <row r="61" spans="1:66" x14ac:dyDescent="0.35">
      <c r="A61" s="69" t="s">
        <v>40</v>
      </c>
      <c r="B61" s="2"/>
      <c r="C61" s="2"/>
      <c r="D61" s="2"/>
      <c r="E61" s="259">
        <v>0</v>
      </c>
      <c r="F61" s="259">
        <v>0</v>
      </c>
      <c r="G61" s="260">
        <f>E61+F61</f>
        <v>0</v>
      </c>
      <c r="H61" s="259">
        <v>0</v>
      </c>
      <c r="I61" s="259">
        <v>0</v>
      </c>
      <c r="J61" s="260">
        <f>H61+I61</f>
        <v>0</v>
      </c>
      <c r="K61" s="259">
        <v>0</v>
      </c>
      <c r="L61" s="259">
        <v>0</v>
      </c>
      <c r="M61" s="260">
        <f>K61+L61</f>
        <v>0</v>
      </c>
      <c r="N61" s="259">
        <v>0</v>
      </c>
      <c r="O61" s="259">
        <v>0</v>
      </c>
      <c r="P61" s="260">
        <f>N61+O61</f>
        <v>0</v>
      </c>
      <c r="Q61" s="259">
        <v>0</v>
      </c>
      <c r="R61" s="259">
        <v>0</v>
      </c>
      <c r="S61" s="260">
        <f>Q61+R61</f>
        <v>0</v>
      </c>
      <c r="T61" s="259">
        <v>0</v>
      </c>
      <c r="U61" s="259">
        <v>0</v>
      </c>
      <c r="V61" s="260">
        <f>T61+U61</f>
        <v>0</v>
      </c>
      <c r="W61" s="259">
        <v>0</v>
      </c>
      <c r="X61" s="259">
        <v>0</v>
      </c>
      <c r="Y61" s="260">
        <f>W61+X61</f>
        <v>0</v>
      </c>
      <c r="Z61" s="259">
        <v>0</v>
      </c>
      <c r="AA61" s="259">
        <v>0</v>
      </c>
      <c r="AB61" s="260">
        <f>Z61+AA61</f>
        <v>0</v>
      </c>
      <c r="AC61" s="259">
        <v>82</v>
      </c>
      <c r="AD61" s="259">
        <v>8</v>
      </c>
      <c r="AE61" s="260">
        <f>AC61+AD61</f>
        <v>90</v>
      </c>
      <c r="AF61" s="259">
        <v>222</v>
      </c>
      <c r="AG61" s="259">
        <v>63</v>
      </c>
      <c r="AH61" s="260">
        <f>AF61+AG61</f>
        <v>285</v>
      </c>
      <c r="AI61" s="262">
        <v>48</v>
      </c>
      <c r="AJ61" s="262">
        <v>26</v>
      </c>
      <c r="AK61" s="263">
        <f>AJ61+AI61</f>
        <v>74</v>
      </c>
      <c r="AL61" s="262">
        <v>50</v>
      </c>
      <c r="AM61" s="262">
        <v>27</v>
      </c>
      <c r="AN61" s="263">
        <f>AM61+AL61</f>
        <v>77</v>
      </c>
      <c r="AO61" s="262">
        <v>48</v>
      </c>
      <c r="AP61" s="262">
        <v>4</v>
      </c>
      <c r="AQ61" s="263">
        <f>AP61+AO61</f>
        <v>52</v>
      </c>
      <c r="AR61" s="262">
        <v>51</v>
      </c>
      <c r="AS61" s="262">
        <v>26</v>
      </c>
      <c r="AT61" s="263">
        <f>AS61+AR61</f>
        <v>77</v>
      </c>
      <c r="AU61" s="259">
        <f>AI61+AL61+AO61+AR61</f>
        <v>197</v>
      </c>
      <c r="AV61" s="259">
        <f>AJ61+AM61+AP61+AS61</f>
        <v>83</v>
      </c>
      <c r="AW61" s="260">
        <f>AU61+AV61</f>
        <v>280</v>
      </c>
      <c r="AX61" s="277"/>
      <c r="AY61" s="277"/>
      <c r="AZ61" s="259">
        <f>AU61*(1+AX62)</f>
        <v>226.54999999999998</v>
      </c>
      <c r="BA61" s="259">
        <f>AV61*(1+AY62)</f>
        <v>96.279999999999987</v>
      </c>
      <c r="BB61" s="260">
        <f>AZ61+BA61</f>
        <v>322.83</v>
      </c>
      <c r="BC61" s="259">
        <f>AZ61*(1+$AX62)</f>
        <v>260.53249999999997</v>
      </c>
      <c r="BD61" s="259">
        <f>BA61*(1+$AY62)</f>
        <v>111.68479999999998</v>
      </c>
      <c r="BE61" s="260">
        <f>BC61+BD61</f>
        <v>372.21729999999997</v>
      </c>
      <c r="BF61" s="259">
        <f>BC61*(1+$AX62)</f>
        <v>299.61237499999993</v>
      </c>
      <c r="BG61" s="259">
        <f>BD61*(1+$AY62)</f>
        <v>129.55436799999998</v>
      </c>
      <c r="BH61" s="260">
        <f>BF61+BG61</f>
        <v>429.16674299999988</v>
      </c>
      <c r="BI61" s="259">
        <f>BF61*(1+$AX62-0.12)</f>
        <v>308.60074624999987</v>
      </c>
      <c r="BJ61" s="259">
        <f>BG61*(1+$AY62)</f>
        <v>150.28306687999998</v>
      </c>
      <c r="BK61" s="260">
        <f>BI61+BJ61</f>
        <v>458.88381312999985</v>
      </c>
      <c r="BL61" s="259">
        <f>BI61*(1+$AX62-0.24)</f>
        <v>280.82667908749988</v>
      </c>
      <c r="BM61" s="259">
        <f>BJ61*(1+$AY62)</f>
        <v>174.32835758079997</v>
      </c>
      <c r="BN61" s="260">
        <f>BL61+BM61</f>
        <v>455.15503666829989</v>
      </c>
    </row>
    <row r="62" spans="1:66" x14ac:dyDescent="0.35">
      <c r="A62" s="241" t="s">
        <v>28</v>
      </c>
      <c r="E62" s="53"/>
      <c r="F62" s="53"/>
      <c r="G62" s="242"/>
      <c r="H62" s="53">
        <f t="shared" ref="H62" si="1251">IFERROR(H61/E61-1,0)</f>
        <v>0</v>
      </c>
      <c r="I62" s="53">
        <f t="shared" ref="I62" si="1252">IFERROR(I61/F61-1,0)</f>
        <v>0</v>
      </c>
      <c r="J62" s="242">
        <f t="shared" ref="J62" si="1253">IFERROR(J61/G61-1,0)</f>
        <v>0</v>
      </c>
      <c r="K62" s="53">
        <f>IFERROR(K61/H61-1,0)</f>
        <v>0</v>
      </c>
      <c r="L62" s="53">
        <f t="shared" ref="L62" si="1254">IFERROR(L61/I61-1,0)</f>
        <v>0</v>
      </c>
      <c r="M62" s="242">
        <f t="shared" ref="M62" si="1255">IFERROR(M61/J61-1,0)</f>
        <v>0</v>
      </c>
      <c r="N62" s="53">
        <f t="shared" ref="N62" si="1256">IFERROR(N61/K61-1,0)</f>
        <v>0</v>
      </c>
      <c r="O62" s="53">
        <f t="shared" ref="O62" si="1257">IFERROR(O61/L61-1,0)</f>
        <v>0</v>
      </c>
      <c r="P62" s="242">
        <f t="shared" ref="P62" si="1258">IFERROR(P61/M61-1,0)</f>
        <v>0</v>
      </c>
      <c r="Q62" s="53">
        <f t="shared" ref="Q62" si="1259">IFERROR(Q61/N61-1,0)</f>
        <v>0</v>
      </c>
      <c r="R62" s="53">
        <f t="shared" ref="R62" si="1260">IFERROR(R61/O61-1,0)</f>
        <v>0</v>
      </c>
      <c r="S62" s="242">
        <f t="shared" ref="S62" si="1261">IFERROR(S61/P61-1,0)</f>
        <v>0</v>
      </c>
      <c r="T62" s="53">
        <f t="shared" ref="T62" si="1262">IFERROR(T61/Q61-1,0)</f>
        <v>0</v>
      </c>
      <c r="U62" s="53">
        <f t="shared" ref="U62" si="1263">IFERROR(U61/R61-1,0)</f>
        <v>0</v>
      </c>
      <c r="V62" s="242">
        <f t="shared" ref="V62" si="1264">IFERROR(V61/S61-1,0)</f>
        <v>0</v>
      </c>
      <c r="W62" s="53">
        <f t="shared" ref="W62" si="1265">IFERROR(W61/T61-1,0)</f>
        <v>0</v>
      </c>
      <c r="X62" s="53">
        <f t="shared" ref="X62" si="1266">IFERROR(X61/U61-1,0)</f>
        <v>0</v>
      </c>
      <c r="Y62" s="242">
        <f t="shared" ref="Y62" si="1267">IFERROR(Y61/V61-1,0)</f>
        <v>0</v>
      </c>
      <c r="Z62" s="53">
        <f t="shared" ref="Z62" si="1268">IFERROR(Z61/W61-1,0)</f>
        <v>0</v>
      </c>
      <c r="AA62" s="53">
        <f t="shared" ref="AA62" si="1269">IFERROR(AA61/X61-1,0)</f>
        <v>0</v>
      </c>
      <c r="AB62" s="242">
        <f t="shared" ref="AB62" si="1270">IFERROR(AB61/Y61-1,0)</f>
        <v>0</v>
      </c>
      <c r="AC62" s="53">
        <f t="shared" ref="AC62" si="1271">IFERROR(AC61/Z61-1,0)</f>
        <v>0</v>
      </c>
      <c r="AD62" s="53">
        <f t="shared" ref="AD62" si="1272">IFERROR(AD61/AA61-1,0)</f>
        <v>0</v>
      </c>
      <c r="AE62" s="242">
        <f t="shared" ref="AE62" si="1273">IFERROR(AE61/AB61-1,0)</f>
        <v>0</v>
      </c>
      <c r="AF62" s="53">
        <f t="shared" ref="AF62" si="1274">IFERROR(AF61/AC61-1,0)</f>
        <v>1.7073170731707319</v>
      </c>
      <c r="AG62" s="53">
        <f t="shared" ref="AG62" si="1275">IFERROR(AG61/AD61-1,0)</f>
        <v>6.875</v>
      </c>
      <c r="AH62" s="242">
        <f t="shared" ref="AH62" si="1276">IFERROR(AH61/AE61-1,0)</f>
        <v>2.1666666666666665</v>
      </c>
      <c r="AI62" s="53">
        <f>IFERROR(AI61/AF61-1,0)</f>
        <v>-0.78378378378378377</v>
      </c>
      <c r="AJ62" s="53">
        <f t="shared" ref="AJ62:AK62" si="1277">IFERROR(AJ61/AG61-1,0)</f>
        <v>-0.58730158730158732</v>
      </c>
      <c r="AK62" s="242">
        <f t="shared" si="1277"/>
        <v>-0.74035087719298254</v>
      </c>
      <c r="AL62" s="53">
        <f t="shared" ref="AL62" si="1278">IFERROR(AL61/AI61-1,0)</f>
        <v>4.1666666666666741E-2</v>
      </c>
      <c r="AM62" s="53">
        <f t="shared" ref="AM62:AN62" si="1279">IFERROR(AM61/AJ61-1,0)</f>
        <v>3.8461538461538547E-2</v>
      </c>
      <c r="AN62" s="242">
        <f t="shared" si="1279"/>
        <v>4.0540540540540571E-2</v>
      </c>
      <c r="AO62" s="53">
        <f t="shared" ref="AO62" si="1280">IFERROR(AO61/AL61-1,0)</f>
        <v>-4.0000000000000036E-2</v>
      </c>
      <c r="AP62" s="53">
        <f t="shared" ref="AP62" si="1281">IFERROR(AP61/AM61-1,0)</f>
        <v>-0.85185185185185186</v>
      </c>
      <c r="AQ62" s="242">
        <f t="shared" ref="AQ62:AT62" si="1282">IFERROR(AQ61/AN61-1,0)</f>
        <v>-0.32467532467532467</v>
      </c>
      <c r="AR62" s="53">
        <f t="shared" ref="AR62" si="1283">IFERROR(AR61/AO61-1,0)</f>
        <v>6.25E-2</v>
      </c>
      <c r="AS62" s="53">
        <f t="shared" si="1282"/>
        <v>5.5</v>
      </c>
      <c r="AT62" s="242">
        <f t="shared" si="1282"/>
        <v>0.48076923076923084</v>
      </c>
      <c r="AU62" s="283">
        <f>IFERROR(AU61/AF61-1,0)</f>
        <v>-0.11261261261261257</v>
      </c>
      <c r="AV62" s="283">
        <f t="shared" ref="AV62" si="1284">IFERROR(AV61/AG61-1,0)</f>
        <v>0.31746031746031744</v>
      </c>
      <c r="AW62" s="242">
        <f>IFERROR(AW61/AH61-1,0)</f>
        <v>-1.7543859649122862E-2</v>
      </c>
      <c r="AX62" s="210">
        <v>0.15</v>
      </c>
      <c r="AY62" s="210">
        <v>0.16</v>
      </c>
      <c r="AZ62" s="236"/>
      <c r="BA62" s="236"/>
      <c r="BB62" s="240"/>
      <c r="BC62" s="236"/>
      <c r="BD62" s="236"/>
      <c r="BE62" s="240"/>
      <c r="BF62" s="236"/>
      <c r="BG62" s="236"/>
      <c r="BH62" s="240"/>
      <c r="BI62" s="236"/>
      <c r="BJ62" s="236"/>
      <c r="BK62" s="240"/>
      <c r="BL62" s="236"/>
      <c r="BM62" s="236"/>
      <c r="BN62" s="240"/>
    </row>
    <row r="63" spans="1:66" x14ac:dyDescent="0.35">
      <c r="A63" s="244" t="s">
        <v>29</v>
      </c>
      <c r="E63" s="236"/>
      <c r="F63" s="236"/>
      <c r="G63" s="240"/>
      <c r="H63" s="247">
        <f>H62</f>
        <v>0</v>
      </c>
      <c r="I63" s="247">
        <f t="shared" ref="I63" si="1285">I62</f>
        <v>0</v>
      </c>
      <c r="J63" s="248">
        <f t="shared" ref="J63" si="1286">J62</f>
        <v>0</v>
      </c>
      <c r="K63" s="247">
        <f t="shared" ref="K63" si="1287">K62</f>
        <v>0</v>
      </c>
      <c r="L63" s="247">
        <f t="shared" ref="L63" si="1288">L62</f>
        <v>0</v>
      </c>
      <c r="M63" s="248">
        <f t="shared" ref="M63" si="1289">M62</f>
        <v>0</v>
      </c>
      <c r="N63" s="247">
        <f t="shared" ref="N63" si="1290">N62</f>
        <v>0</v>
      </c>
      <c r="O63" s="247">
        <f t="shared" ref="O63" si="1291">O62</f>
        <v>0</v>
      </c>
      <c r="P63" s="248">
        <f t="shared" ref="P63" si="1292">P62</f>
        <v>0</v>
      </c>
      <c r="Q63" s="247">
        <f t="shared" ref="Q63" si="1293">Q62</f>
        <v>0</v>
      </c>
      <c r="R63" s="247">
        <f t="shared" ref="R63" si="1294">R62</f>
        <v>0</v>
      </c>
      <c r="S63" s="248">
        <f t="shared" ref="S63" si="1295">S62</f>
        <v>0</v>
      </c>
      <c r="T63" s="247">
        <f t="shared" ref="T63" si="1296">T62</f>
        <v>0</v>
      </c>
      <c r="U63" s="247">
        <f t="shared" ref="U63" si="1297">U62</f>
        <v>0</v>
      </c>
      <c r="V63" s="248">
        <f t="shared" ref="V63" si="1298">V62</f>
        <v>0</v>
      </c>
      <c r="W63" s="247">
        <f t="shared" ref="W63" si="1299">W62</f>
        <v>0</v>
      </c>
      <c r="X63" s="247">
        <f t="shared" ref="X63" si="1300">X62</f>
        <v>0</v>
      </c>
      <c r="Y63" s="248">
        <f t="shared" ref="Y63" si="1301">Y62</f>
        <v>0</v>
      </c>
      <c r="Z63" s="247">
        <f t="shared" ref="Z63" si="1302">Z62</f>
        <v>0</v>
      </c>
      <c r="AA63" s="247">
        <f t="shared" ref="AA63" si="1303">AA62</f>
        <v>0</v>
      </c>
      <c r="AB63" s="248">
        <f t="shared" ref="AB63" si="1304">AB62</f>
        <v>0</v>
      </c>
      <c r="AC63" s="247">
        <f t="shared" ref="AC63" si="1305">AC62</f>
        <v>0</v>
      </c>
      <c r="AD63" s="247">
        <f t="shared" ref="AD63" si="1306">AD62</f>
        <v>0</v>
      </c>
      <c r="AE63" s="248">
        <f t="shared" ref="AE63" si="1307">AE62</f>
        <v>0</v>
      </c>
      <c r="AF63" s="247">
        <f t="shared" ref="AF63" si="1308">AF62</f>
        <v>1.7073170731707319</v>
      </c>
      <c r="AG63" s="247">
        <f t="shared" ref="AG63" si="1309">AG62</f>
        <v>6.875</v>
      </c>
      <c r="AH63" s="248">
        <f t="shared" ref="AH63" si="1310">AH62</f>
        <v>2.1666666666666665</v>
      </c>
      <c r="AI63" s="249">
        <f>AI62</f>
        <v>-0.78378378378378377</v>
      </c>
      <c r="AJ63" s="249">
        <f t="shared" ref="AJ63" si="1311">AJ62</f>
        <v>-0.58730158730158732</v>
      </c>
      <c r="AK63" s="249">
        <f t="shared" ref="AK63" si="1312">AK62</f>
        <v>-0.74035087719298254</v>
      </c>
      <c r="AL63" s="249">
        <f t="shared" ref="AL63" si="1313">AL62</f>
        <v>4.1666666666666741E-2</v>
      </c>
      <c r="AM63" s="249">
        <f t="shared" ref="AM63" si="1314">AM62</f>
        <v>3.8461538461538547E-2</v>
      </c>
      <c r="AN63" s="249">
        <f t="shared" ref="AN63" si="1315">AN62</f>
        <v>4.0540540540540571E-2</v>
      </c>
      <c r="AO63" s="249">
        <f t="shared" ref="AO63" si="1316">AO62</f>
        <v>-4.0000000000000036E-2</v>
      </c>
      <c r="AP63" s="249">
        <f t="shared" ref="AP63" si="1317">AP62</f>
        <v>-0.85185185185185186</v>
      </c>
      <c r="AQ63" s="249">
        <f t="shared" ref="AQ63" si="1318">AQ62</f>
        <v>-0.32467532467532467</v>
      </c>
      <c r="AR63" s="249">
        <f t="shared" ref="AR63" si="1319">AR62</f>
        <v>6.25E-2</v>
      </c>
      <c r="AS63" s="249">
        <f t="shared" ref="AS63" si="1320">AS62</f>
        <v>5.5</v>
      </c>
      <c r="AT63" s="249">
        <f t="shared" ref="AT63" si="1321">AT62</f>
        <v>0.48076923076923084</v>
      </c>
      <c r="AU63" s="250">
        <f>AU62</f>
        <v>-0.11261261261261257</v>
      </c>
      <c r="AV63" s="250">
        <f t="shared" ref="AV63" si="1322">AV62</f>
        <v>0.31746031746031744</v>
      </c>
      <c r="AW63" s="248">
        <f t="shared" ref="AW63" si="1323">AW62</f>
        <v>-1.7543859649122862E-2</v>
      </c>
      <c r="AX63" s="278"/>
      <c r="AY63" s="278"/>
      <c r="AZ63" s="236"/>
      <c r="BA63" s="236"/>
      <c r="BB63" s="240"/>
      <c r="BC63" s="236"/>
      <c r="BD63" s="236"/>
      <c r="BE63" s="240"/>
      <c r="BF63" s="236"/>
      <c r="BG63" s="236"/>
      <c r="BH63" s="240"/>
      <c r="BI63" s="236"/>
      <c r="BJ63" s="236"/>
      <c r="BK63" s="240"/>
      <c r="BL63" s="236"/>
      <c r="BM63" s="236"/>
      <c r="BN63" s="240"/>
    </row>
    <row r="64" spans="1:66" x14ac:dyDescent="0.35">
      <c r="A64" s="69" t="s">
        <v>11</v>
      </c>
      <c r="B64" s="2"/>
      <c r="C64" s="2"/>
      <c r="D64" s="2"/>
      <c r="E64" s="259">
        <v>0</v>
      </c>
      <c r="F64" s="259">
        <v>0</v>
      </c>
      <c r="G64" s="260">
        <f>E64+F64</f>
        <v>0</v>
      </c>
      <c r="H64" s="259">
        <v>0</v>
      </c>
      <c r="I64" s="259">
        <v>0</v>
      </c>
      <c r="J64" s="260">
        <f>H64+I64</f>
        <v>0</v>
      </c>
      <c r="K64" s="259">
        <v>0</v>
      </c>
      <c r="L64" s="259">
        <v>0</v>
      </c>
      <c r="M64" s="260">
        <f>K64+L64</f>
        <v>0</v>
      </c>
      <c r="N64" s="259">
        <v>0</v>
      </c>
      <c r="O64" s="259">
        <v>0</v>
      </c>
      <c r="P64" s="260">
        <f>N64+O64</f>
        <v>0</v>
      </c>
      <c r="Q64" s="259">
        <v>0</v>
      </c>
      <c r="R64" s="259">
        <v>0</v>
      </c>
      <c r="S64" s="260">
        <f>Q64+R64</f>
        <v>0</v>
      </c>
      <c r="T64" s="259">
        <v>302</v>
      </c>
      <c r="U64" s="259">
        <v>34</v>
      </c>
      <c r="V64" s="260">
        <f>T64+U64</f>
        <v>336</v>
      </c>
      <c r="W64" s="259">
        <v>550</v>
      </c>
      <c r="X64" s="259">
        <v>80</v>
      </c>
      <c r="Y64" s="260">
        <f>W64+X64</f>
        <v>630</v>
      </c>
      <c r="Z64" s="259">
        <v>605</v>
      </c>
      <c r="AA64" s="259">
        <v>111</v>
      </c>
      <c r="AB64" s="260">
        <f>Z64+AA64</f>
        <v>716</v>
      </c>
      <c r="AC64" s="259">
        <v>150</v>
      </c>
      <c r="AD64" s="259">
        <v>130</v>
      </c>
      <c r="AE64" s="260">
        <f>AC64+AD64</f>
        <v>280</v>
      </c>
      <c r="AF64" s="259">
        <v>253</v>
      </c>
      <c r="AG64" s="259">
        <v>129</v>
      </c>
      <c r="AH64" s="260">
        <f>AF64+AG64</f>
        <v>382</v>
      </c>
      <c r="AI64" s="262">
        <v>58</v>
      </c>
      <c r="AJ64" s="262">
        <v>33</v>
      </c>
      <c r="AK64" s="263">
        <f>AJ64+AI64</f>
        <v>91</v>
      </c>
      <c r="AL64" s="262">
        <v>54</v>
      </c>
      <c r="AM64" s="262">
        <v>33</v>
      </c>
      <c r="AN64" s="263">
        <f>AM64+AL64</f>
        <v>87</v>
      </c>
      <c r="AO64" s="262">
        <v>59</v>
      </c>
      <c r="AP64" s="262">
        <v>36</v>
      </c>
      <c r="AQ64" s="263">
        <f>AP64+AO64</f>
        <v>95</v>
      </c>
      <c r="AR64" s="262">
        <v>57</v>
      </c>
      <c r="AS64" s="262">
        <v>32</v>
      </c>
      <c r="AT64" s="263">
        <f>AS64+AR64</f>
        <v>89</v>
      </c>
      <c r="AU64" s="259">
        <f>AI64+AL64+AO64+AR64</f>
        <v>228</v>
      </c>
      <c r="AV64" s="259">
        <f>AJ64+AM64+AP64+AS64</f>
        <v>134</v>
      </c>
      <c r="AW64" s="260">
        <f>AU64+AV64</f>
        <v>362</v>
      </c>
      <c r="AX64" s="277"/>
      <c r="AY64" s="277"/>
      <c r="AZ64" s="259">
        <f>AU64*(1+AX65)</f>
        <v>250.8</v>
      </c>
      <c r="BA64" s="259">
        <f>AV64*(1+AY65)</f>
        <v>148.06536769327468</v>
      </c>
      <c r="BB64" s="260">
        <f>AZ64+BA64</f>
        <v>398.86536769327472</v>
      </c>
      <c r="BC64" s="259">
        <f>AZ64*(1+$AX65)</f>
        <v>275.88000000000005</v>
      </c>
      <c r="BD64" s="259">
        <f>BA64*(1+$AY65)</f>
        <v>163.60711276227335</v>
      </c>
      <c r="BE64" s="260">
        <f>BC64+BD64</f>
        <v>439.4871127622734</v>
      </c>
      <c r="BF64" s="259">
        <f>BC64*(1+$AX65)</f>
        <v>303.46800000000007</v>
      </c>
      <c r="BG64" s="259">
        <f>BD64*(1+$AY65)</f>
        <v>180.78020379388846</v>
      </c>
      <c r="BH64" s="260">
        <f>BF64+BG64</f>
        <v>484.24820379388854</v>
      </c>
      <c r="BI64" s="259">
        <f>BF64*(1+$AX65)</f>
        <v>333.8148000000001</v>
      </c>
      <c r="BJ64" s="259">
        <f>BG64*(1+$AY65)</f>
        <v>199.7558757194569</v>
      </c>
      <c r="BK64" s="260">
        <f>BI64+BJ64</f>
        <v>533.57067571945697</v>
      </c>
      <c r="BL64" s="259">
        <f>BI64*(1+$AX65)</f>
        <v>367.19628000000017</v>
      </c>
      <c r="BM64" s="259">
        <f>BJ64*(1+$AY65)</f>
        <v>220.72333721860795</v>
      </c>
      <c r="BN64" s="260">
        <f>BL64+BM64</f>
        <v>587.9196172186081</v>
      </c>
    </row>
    <row r="65" spans="1:66" x14ac:dyDescent="0.35">
      <c r="A65" s="241" t="s">
        <v>28</v>
      </c>
      <c r="E65" s="53"/>
      <c r="F65" s="53"/>
      <c r="G65" s="242"/>
      <c r="H65" s="53">
        <f t="shared" ref="H65" si="1324">IFERROR(H64/E64-1,0)</f>
        <v>0</v>
      </c>
      <c r="I65" s="53">
        <f t="shared" ref="I65" si="1325">IFERROR(I64/F64-1,0)</f>
        <v>0</v>
      </c>
      <c r="J65" s="242">
        <f t="shared" ref="J65" si="1326">IFERROR(J64/G64-1,0)</f>
        <v>0</v>
      </c>
      <c r="K65" s="53">
        <f>IFERROR(K64/H64-1,0)</f>
        <v>0</v>
      </c>
      <c r="L65" s="53">
        <f t="shared" ref="L65" si="1327">IFERROR(L64/I64-1,0)</f>
        <v>0</v>
      </c>
      <c r="M65" s="242">
        <f t="shared" ref="M65" si="1328">IFERROR(M64/J64-1,0)</f>
        <v>0</v>
      </c>
      <c r="N65" s="53">
        <f t="shared" ref="N65" si="1329">IFERROR(N64/K64-1,0)</f>
        <v>0</v>
      </c>
      <c r="O65" s="53">
        <f t="shared" ref="O65" si="1330">IFERROR(O64/L64-1,0)</f>
        <v>0</v>
      </c>
      <c r="P65" s="242">
        <f t="shared" ref="P65" si="1331">IFERROR(P64/M64-1,0)</f>
        <v>0</v>
      </c>
      <c r="Q65" s="53">
        <f t="shared" ref="Q65" si="1332">IFERROR(Q64/N64-1,0)</f>
        <v>0</v>
      </c>
      <c r="R65" s="53">
        <f t="shared" ref="R65" si="1333">IFERROR(R64/O64-1,0)</f>
        <v>0</v>
      </c>
      <c r="S65" s="242">
        <f t="shared" ref="S65" si="1334">IFERROR(S64/P64-1,0)</f>
        <v>0</v>
      </c>
      <c r="T65" s="53">
        <f t="shared" ref="T65" si="1335">IFERROR(T64/Q64-1,0)</f>
        <v>0</v>
      </c>
      <c r="U65" s="53">
        <f t="shared" ref="U65" si="1336">IFERROR(U64/R64-1,0)</f>
        <v>0</v>
      </c>
      <c r="V65" s="242">
        <f t="shared" ref="V65" si="1337">IFERROR(V64/S64-1,0)</f>
        <v>0</v>
      </c>
      <c r="W65" s="53">
        <f t="shared" ref="W65" si="1338">IFERROR(W64/T64-1,0)</f>
        <v>0.82119205298013243</v>
      </c>
      <c r="X65" s="53">
        <f t="shared" ref="X65" si="1339">IFERROR(X64/U64-1,0)</f>
        <v>1.3529411764705883</v>
      </c>
      <c r="Y65" s="242">
        <f t="shared" ref="Y65" si="1340">IFERROR(Y64/V64-1,0)</f>
        <v>0.875</v>
      </c>
      <c r="Z65" s="53">
        <f t="shared" ref="Z65" si="1341">IFERROR(Z64/W64-1,0)</f>
        <v>0.10000000000000009</v>
      </c>
      <c r="AA65" s="53">
        <f t="shared" ref="AA65" si="1342">IFERROR(AA64/X64-1,0)</f>
        <v>0.38749999999999996</v>
      </c>
      <c r="AB65" s="242">
        <f t="shared" ref="AB65" si="1343">IFERROR(AB64/Y64-1,0)</f>
        <v>0.13650793650793647</v>
      </c>
      <c r="AC65" s="53">
        <f t="shared" ref="AC65" si="1344">IFERROR(AC64/Z64-1,0)</f>
        <v>-0.75206611570247928</v>
      </c>
      <c r="AD65" s="53">
        <f t="shared" ref="AD65" si="1345">IFERROR(AD64/AA64-1,0)</f>
        <v>0.1711711711711712</v>
      </c>
      <c r="AE65" s="242">
        <f t="shared" ref="AE65" si="1346">IFERROR(AE64/AB64-1,0)</f>
        <v>-0.6089385474860336</v>
      </c>
      <c r="AF65" s="53">
        <f t="shared" ref="AF65" si="1347">IFERROR(AF64/AC64-1,0)</f>
        <v>0.68666666666666676</v>
      </c>
      <c r="AG65" s="53">
        <f t="shared" ref="AG65" si="1348">IFERROR(AG64/AD64-1,0)</f>
        <v>-7.692307692307665E-3</v>
      </c>
      <c r="AH65" s="242">
        <f t="shared" ref="AH65" si="1349">IFERROR(AH64/AE64-1,0)</f>
        <v>0.36428571428571432</v>
      </c>
      <c r="AI65" s="53">
        <f>IFERROR(AI64/AF64-1,0)</f>
        <v>-0.77075098814229248</v>
      </c>
      <c r="AJ65" s="53">
        <f t="shared" ref="AJ65:AK65" si="1350">IFERROR(AJ64/AG64-1,0)</f>
        <v>-0.7441860465116279</v>
      </c>
      <c r="AK65" s="242">
        <f t="shared" si="1350"/>
        <v>-0.76178010471204183</v>
      </c>
      <c r="AL65" s="53">
        <f t="shared" ref="AL65" si="1351">IFERROR(AL64/AI64-1,0)</f>
        <v>-6.8965517241379337E-2</v>
      </c>
      <c r="AM65" s="53">
        <f t="shared" ref="AM65:AN65" si="1352">IFERROR(AM64/AJ64-1,0)</f>
        <v>0</v>
      </c>
      <c r="AN65" s="242">
        <f t="shared" si="1352"/>
        <v>-4.3956043956043911E-2</v>
      </c>
      <c r="AO65" s="53">
        <f t="shared" ref="AO65" si="1353">IFERROR(AO64/AL64-1,0)</f>
        <v>9.259259259259256E-2</v>
      </c>
      <c r="AP65" s="53">
        <f t="shared" ref="AP65" si="1354">IFERROR(AP64/AM64-1,0)</f>
        <v>9.0909090909090828E-2</v>
      </c>
      <c r="AQ65" s="242">
        <f t="shared" ref="AQ65:AT65" si="1355">IFERROR(AQ64/AN64-1,0)</f>
        <v>9.1954022988505857E-2</v>
      </c>
      <c r="AR65" s="53">
        <f t="shared" ref="AR65" si="1356">IFERROR(AR64/AO64-1,0)</f>
        <v>-3.3898305084745783E-2</v>
      </c>
      <c r="AS65" s="53">
        <f t="shared" si="1355"/>
        <v>-0.11111111111111116</v>
      </c>
      <c r="AT65" s="242">
        <f t="shared" si="1355"/>
        <v>-6.315789473684208E-2</v>
      </c>
      <c r="AU65" s="283">
        <f>IFERROR(AU64/AF64-1,0)</f>
        <v>-9.8814229249011842E-2</v>
      </c>
      <c r="AV65" s="283">
        <f t="shared" ref="AV65" si="1357">IFERROR(AV64/AG64-1,0)</f>
        <v>3.8759689922480689E-2</v>
      </c>
      <c r="AW65" s="242">
        <f>IFERROR(AW64/AH64-1,0)</f>
        <v>-5.2356020942408432E-2</v>
      </c>
      <c r="AX65" s="210">
        <f>MEDIAN(W65,Z65,AC65,AF65,AU65)</f>
        <v>0.10000000000000009</v>
      </c>
      <c r="AY65" s="210">
        <f>MEDIAN(AA65,AD65,AG65,AV65)</f>
        <v>0.10496543054682594</v>
      </c>
      <c r="AZ65" s="236"/>
      <c r="BA65" s="236"/>
      <c r="BB65" s="240"/>
      <c r="BC65" s="236"/>
      <c r="BD65" s="236"/>
      <c r="BE65" s="240"/>
      <c r="BF65" s="236"/>
      <c r="BG65" s="236"/>
      <c r="BH65" s="240"/>
      <c r="BI65" s="236"/>
      <c r="BJ65" s="236"/>
      <c r="BK65" s="240"/>
      <c r="BL65" s="236"/>
      <c r="BM65" s="236"/>
      <c r="BN65" s="240"/>
    </row>
    <row r="66" spans="1:66" x14ac:dyDescent="0.35">
      <c r="A66" s="244" t="s">
        <v>29</v>
      </c>
      <c r="E66" s="236"/>
      <c r="F66" s="236"/>
      <c r="G66" s="240"/>
      <c r="H66" s="247">
        <f>H65</f>
        <v>0</v>
      </c>
      <c r="I66" s="247">
        <f t="shared" ref="I66" si="1358">I65</f>
        <v>0</v>
      </c>
      <c r="J66" s="248">
        <f t="shared" ref="J66" si="1359">J65</f>
        <v>0</v>
      </c>
      <c r="K66" s="247">
        <f t="shared" ref="K66" si="1360">K65</f>
        <v>0</v>
      </c>
      <c r="L66" s="247">
        <f t="shared" ref="L66" si="1361">L65</f>
        <v>0</v>
      </c>
      <c r="M66" s="248">
        <f t="shared" ref="M66" si="1362">M65</f>
        <v>0</v>
      </c>
      <c r="N66" s="247">
        <f t="shared" ref="N66" si="1363">N65</f>
        <v>0</v>
      </c>
      <c r="O66" s="247">
        <f t="shared" ref="O66" si="1364">O65</f>
        <v>0</v>
      </c>
      <c r="P66" s="248">
        <f t="shared" ref="P66" si="1365">P65</f>
        <v>0</v>
      </c>
      <c r="Q66" s="247">
        <f t="shared" ref="Q66" si="1366">Q65</f>
        <v>0</v>
      </c>
      <c r="R66" s="247">
        <f t="shared" ref="R66" si="1367">R65</f>
        <v>0</v>
      </c>
      <c r="S66" s="248">
        <f t="shared" ref="S66" si="1368">S65</f>
        <v>0</v>
      </c>
      <c r="T66" s="247">
        <f t="shared" ref="T66" si="1369">T65</f>
        <v>0</v>
      </c>
      <c r="U66" s="247">
        <f t="shared" ref="U66" si="1370">U65</f>
        <v>0</v>
      </c>
      <c r="V66" s="248">
        <f t="shared" ref="V66" si="1371">V65</f>
        <v>0</v>
      </c>
      <c r="W66" s="247">
        <f t="shared" ref="W66" si="1372">W65</f>
        <v>0.82119205298013243</v>
      </c>
      <c r="X66" s="247">
        <f t="shared" ref="X66" si="1373">X65</f>
        <v>1.3529411764705883</v>
      </c>
      <c r="Y66" s="248">
        <f t="shared" ref="Y66" si="1374">Y65</f>
        <v>0.875</v>
      </c>
      <c r="Z66" s="247">
        <f t="shared" ref="Z66" si="1375">Z65</f>
        <v>0.10000000000000009</v>
      </c>
      <c r="AA66" s="247">
        <f t="shared" ref="AA66" si="1376">AA65</f>
        <v>0.38749999999999996</v>
      </c>
      <c r="AB66" s="248">
        <f t="shared" ref="AB66" si="1377">AB65</f>
        <v>0.13650793650793647</v>
      </c>
      <c r="AC66" s="247">
        <f t="shared" ref="AC66" si="1378">AC65</f>
        <v>-0.75206611570247928</v>
      </c>
      <c r="AD66" s="247">
        <f t="shared" ref="AD66" si="1379">AD65</f>
        <v>0.1711711711711712</v>
      </c>
      <c r="AE66" s="248">
        <f t="shared" ref="AE66" si="1380">AE65</f>
        <v>-0.6089385474860336</v>
      </c>
      <c r="AF66" s="247">
        <f t="shared" ref="AF66" si="1381">AF65</f>
        <v>0.68666666666666676</v>
      </c>
      <c r="AG66" s="247">
        <f t="shared" ref="AG66" si="1382">AG65</f>
        <v>-7.692307692307665E-3</v>
      </c>
      <c r="AH66" s="248">
        <f t="shared" ref="AH66" si="1383">AH65</f>
        <v>0.36428571428571432</v>
      </c>
      <c r="AI66" s="157">
        <f>AI65</f>
        <v>-0.77075098814229248</v>
      </c>
      <c r="AJ66" s="157">
        <f t="shared" ref="AJ66" si="1384">AJ65</f>
        <v>-0.7441860465116279</v>
      </c>
      <c r="AK66" s="157">
        <f t="shared" ref="AK66" si="1385">AK65</f>
        <v>-0.76178010471204183</v>
      </c>
      <c r="AL66" s="157">
        <f t="shared" ref="AL66" si="1386">AL65</f>
        <v>-6.8965517241379337E-2</v>
      </c>
      <c r="AM66" s="157">
        <f t="shared" ref="AM66" si="1387">AM65</f>
        <v>0</v>
      </c>
      <c r="AN66" s="157">
        <f t="shared" ref="AN66" si="1388">AN65</f>
        <v>-4.3956043956043911E-2</v>
      </c>
      <c r="AO66" s="157">
        <f t="shared" ref="AO66" si="1389">AO65</f>
        <v>9.259259259259256E-2</v>
      </c>
      <c r="AP66" s="157">
        <f t="shared" ref="AP66" si="1390">AP65</f>
        <v>9.0909090909090828E-2</v>
      </c>
      <c r="AQ66" s="157">
        <f t="shared" ref="AQ66" si="1391">AQ65</f>
        <v>9.1954022988505857E-2</v>
      </c>
      <c r="AR66" s="157">
        <f t="shared" ref="AR66" si="1392">AR65</f>
        <v>-3.3898305084745783E-2</v>
      </c>
      <c r="AS66" s="157">
        <f t="shared" ref="AS66" si="1393">AS65</f>
        <v>-0.11111111111111116</v>
      </c>
      <c r="AT66" s="157">
        <f t="shared" ref="AT66" si="1394">AT65</f>
        <v>-6.315789473684208E-2</v>
      </c>
      <c r="AU66" s="250">
        <f>AU65</f>
        <v>-9.8814229249011842E-2</v>
      </c>
      <c r="AV66" s="250">
        <f t="shared" ref="AV66" si="1395">AV65</f>
        <v>3.8759689922480689E-2</v>
      </c>
      <c r="AW66" s="248">
        <f t="shared" ref="AW66" si="1396">AW65</f>
        <v>-5.2356020942408432E-2</v>
      </c>
      <c r="AX66" s="278"/>
      <c r="AY66" s="278"/>
      <c r="AZ66" s="236"/>
      <c r="BA66" s="236"/>
      <c r="BB66" s="240"/>
      <c r="BC66" s="236"/>
      <c r="BD66" s="236"/>
      <c r="BE66" s="240"/>
      <c r="BF66" s="236"/>
      <c r="BG66" s="236"/>
      <c r="BH66" s="240"/>
      <c r="BI66" s="236"/>
      <c r="BJ66" s="236"/>
      <c r="BK66" s="240"/>
      <c r="BL66" s="236"/>
      <c r="BM66" s="236"/>
      <c r="BN66" s="240"/>
    </row>
    <row r="67" spans="1:66" x14ac:dyDescent="0.35">
      <c r="A67" s="69" t="s">
        <v>34</v>
      </c>
      <c r="B67" s="2"/>
      <c r="C67" s="2"/>
      <c r="D67" s="2"/>
      <c r="E67" s="259">
        <v>0</v>
      </c>
      <c r="F67" s="259">
        <v>0</v>
      </c>
      <c r="G67" s="260">
        <f>E67+F67</f>
        <v>0</v>
      </c>
      <c r="H67" s="259">
        <v>0</v>
      </c>
      <c r="I67" s="259">
        <v>0</v>
      </c>
      <c r="J67" s="260">
        <f>H67+I67</f>
        <v>0</v>
      </c>
      <c r="K67" s="259">
        <v>0</v>
      </c>
      <c r="L67" s="259">
        <v>0</v>
      </c>
      <c r="M67" s="260">
        <f>K67+L67</f>
        <v>0</v>
      </c>
      <c r="N67" s="259">
        <v>0</v>
      </c>
      <c r="O67" s="259">
        <v>0</v>
      </c>
      <c r="P67" s="260">
        <f>N67+O67</f>
        <v>0</v>
      </c>
      <c r="Q67" s="259">
        <v>0</v>
      </c>
      <c r="R67" s="259">
        <v>0</v>
      </c>
      <c r="S67" s="260">
        <f>Q67+R67</f>
        <v>0</v>
      </c>
      <c r="T67" s="259">
        <v>0</v>
      </c>
      <c r="U67" s="259">
        <v>0</v>
      </c>
      <c r="V67" s="260">
        <f>T67+U67</f>
        <v>0</v>
      </c>
      <c r="W67" s="259">
        <v>118</v>
      </c>
      <c r="X67" s="259">
        <v>108</v>
      </c>
      <c r="Y67" s="260">
        <f>W67+X67</f>
        <v>226</v>
      </c>
      <c r="Z67" s="259">
        <v>475</v>
      </c>
      <c r="AA67" s="259">
        <v>92</v>
      </c>
      <c r="AB67" s="260">
        <f>Z67+AA67</f>
        <v>567</v>
      </c>
      <c r="AC67" s="259">
        <v>479</v>
      </c>
      <c r="AD67" s="259">
        <v>93</v>
      </c>
      <c r="AE67" s="260">
        <f>AC67+AD67</f>
        <v>572</v>
      </c>
      <c r="AF67" s="259">
        <v>257</v>
      </c>
      <c r="AG67" s="259">
        <v>59</v>
      </c>
      <c r="AH67" s="260">
        <f>AF67+AG67</f>
        <v>316</v>
      </c>
      <c r="AI67" s="6">
        <v>33</v>
      </c>
      <c r="AJ67" s="6">
        <v>14</v>
      </c>
      <c r="AK67" s="5">
        <f>AJ67+AI67</f>
        <v>47</v>
      </c>
      <c r="AL67" s="6">
        <v>38</v>
      </c>
      <c r="AM67" s="6">
        <v>12</v>
      </c>
      <c r="AN67" s="5">
        <f>AM67+AL67</f>
        <v>50</v>
      </c>
      <c r="AO67" s="6">
        <v>7</v>
      </c>
      <c r="AP67" s="6">
        <v>13</v>
      </c>
      <c r="AQ67" s="5">
        <f>AP67+AO67</f>
        <v>20</v>
      </c>
      <c r="AR67" s="6">
        <v>31</v>
      </c>
      <c r="AS67" s="6">
        <v>11</v>
      </c>
      <c r="AT67" s="5">
        <f>AS67+AR67</f>
        <v>42</v>
      </c>
      <c r="AU67" s="259">
        <f>AI67+AL67+AO67+AR67</f>
        <v>109</v>
      </c>
      <c r="AV67" s="259">
        <f>AJ67+AM67+AP67+AS67</f>
        <v>50</v>
      </c>
      <c r="AW67" s="260">
        <f>AU67+AV67</f>
        <v>159</v>
      </c>
      <c r="AX67" s="277"/>
      <c r="AY67" s="277"/>
      <c r="AZ67" s="259">
        <f>AU67*(1+AX68)</f>
        <v>110.09</v>
      </c>
      <c r="BA67" s="259">
        <f>AV67*(1+AY68)</f>
        <v>50.5</v>
      </c>
      <c r="BB67" s="260">
        <f>AZ67+BA67</f>
        <v>160.59</v>
      </c>
      <c r="BC67" s="259">
        <f>AZ67*(1+$AX68)</f>
        <v>111.1909</v>
      </c>
      <c r="BD67" s="259">
        <f>BA67*(1+$AY68)</f>
        <v>51.005000000000003</v>
      </c>
      <c r="BE67" s="260">
        <f>BC67+BD67</f>
        <v>162.19589999999999</v>
      </c>
      <c r="BF67" s="259">
        <f>BC67*(1+$AX68)</f>
        <v>112.302809</v>
      </c>
      <c r="BG67" s="259">
        <f>BD67*(1+$AY68)</f>
        <v>51.515050000000002</v>
      </c>
      <c r="BH67" s="260">
        <f>BF67+BG67</f>
        <v>163.817859</v>
      </c>
      <c r="BI67" s="259">
        <f>BF67*(1+$AX68)</f>
        <v>113.42583709</v>
      </c>
      <c r="BJ67" s="259">
        <f>BG67*(1+$AY68)</f>
        <v>52.030200499999999</v>
      </c>
      <c r="BK67" s="260">
        <f>BI67+BJ67</f>
        <v>165.45603758999999</v>
      </c>
      <c r="BL67" s="259">
        <f>BI67*(1+$AX68)</f>
        <v>114.5600954609</v>
      </c>
      <c r="BM67" s="259">
        <f>BJ67*(1+$AY68)</f>
        <v>52.550502504999997</v>
      </c>
      <c r="BN67" s="260">
        <f>BL67+BM67</f>
        <v>167.11059796590001</v>
      </c>
    </row>
    <row r="68" spans="1:66" x14ac:dyDescent="0.35">
      <c r="A68" s="241" t="s">
        <v>28</v>
      </c>
      <c r="E68" s="53"/>
      <c r="F68" s="53"/>
      <c r="G68" s="242"/>
      <c r="H68" s="53">
        <f t="shared" ref="H68" si="1397">IFERROR(H67/E67-1,0)</f>
        <v>0</v>
      </c>
      <c r="I68" s="53">
        <f t="shared" ref="I68" si="1398">IFERROR(I67/F67-1,0)</f>
        <v>0</v>
      </c>
      <c r="J68" s="242">
        <f t="shared" ref="J68" si="1399">IFERROR(J67/G67-1,0)</f>
        <v>0</v>
      </c>
      <c r="K68" s="53">
        <f>IFERROR(K67/H67-1,0)</f>
        <v>0</v>
      </c>
      <c r="L68" s="53">
        <f t="shared" ref="L68" si="1400">IFERROR(L67/I67-1,0)</f>
        <v>0</v>
      </c>
      <c r="M68" s="242">
        <f t="shared" ref="M68" si="1401">IFERROR(M67/J67-1,0)</f>
        <v>0</v>
      </c>
      <c r="N68" s="53">
        <f t="shared" ref="N68" si="1402">IFERROR(N67/K67-1,0)</f>
        <v>0</v>
      </c>
      <c r="O68" s="53">
        <f t="shared" ref="O68" si="1403">IFERROR(O67/L67-1,0)</f>
        <v>0</v>
      </c>
      <c r="P68" s="242">
        <f t="shared" ref="P68" si="1404">IFERROR(P67/M67-1,0)</f>
        <v>0</v>
      </c>
      <c r="Q68" s="53">
        <f t="shared" ref="Q68" si="1405">IFERROR(Q67/N67-1,0)</f>
        <v>0</v>
      </c>
      <c r="R68" s="53">
        <f t="shared" ref="R68" si="1406">IFERROR(R67/O67-1,0)</f>
        <v>0</v>
      </c>
      <c r="S68" s="242">
        <f t="shared" ref="S68" si="1407">IFERROR(S67/P67-1,0)</f>
        <v>0</v>
      </c>
      <c r="T68" s="53">
        <f t="shared" ref="T68" si="1408">IFERROR(T67/Q67-1,0)</f>
        <v>0</v>
      </c>
      <c r="U68" s="53">
        <f t="shared" ref="U68" si="1409">IFERROR(U67/R67-1,0)</f>
        <v>0</v>
      </c>
      <c r="V68" s="242">
        <f t="shared" ref="V68" si="1410">IFERROR(V67/S67-1,0)</f>
        <v>0</v>
      </c>
      <c r="W68" s="53">
        <f t="shared" ref="W68" si="1411">IFERROR(W67/T67-1,0)</f>
        <v>0</v>
      </c>
      <c r="X68" s="53">
        <f t="shared" ref="X68" si="1412">IFERROR(X67/U67-1,0)</f>
        <v>0</v>
      </c>
      <c r="Y68" s="242">
        <f t="shared" ref="Y68" si="1413">IFERROR(Y67/V67-1,0)</f>
        <v>0</v>
      </c>
      <c r="Z68" s="53">
        <f t="shared" ref="Z68" si="1414">IFERROR(Z67/W67-1,0)</f>
        <v>3.0254237288135597</v>
      </c>
      <c r="AA68" s="53">
        <f t="shared" ref="AA68" si="1415">IFERROR(AA67/X67-1,0)</f>
        <v>-0.14814814814814814</v>
      </c>
      <c r="AB68" s="242">
        <f t="shared" ref="AB68" si="1416">IFERROR(AB67/Y67-1,0)</f>
        <v>1.5088495575221237</v>
      </c>
      <c r="AC68" s="53">
        <f t="shared" ref="AC68" si="1417">IFERROR(AC67/Z67-1,0)</f>
        <v>8.4210526315788847E-3</v>
      </c>
      <c r="AD68" s="53">
        <f t="shared" ref="AD68" si="1418">IFERROR(AD67/AA67-1,0)</f>
        <v>1.0869565217391353E-2</v>
      </c>
      <c r="AE68" s="242">
        <f t="shared" ref="AE68" si="1419">IFERROR(AE67/AB67-1,0)</f>
        <v>8.818342151675429E-3</v>
      </c>
      <c r="AF68" s="53">
        <f t="shared" ref="AF68" si="1420">IFERROR(AF67/AC67-1,0)</f>
        <v>-0.4634655532359081</v>
      </c>
      <c r="AG68" s="53">
        <f t="shared" ref="AG68" si="1421">IFERROR(AG67/AD67-1,0)</f>
        <v>-0.36559139784946237</v>
      </c>
      <c r="AH68" s="242">
        <f t="shared" ref="AH68" si="1422">IFERROR(AH67/AE67-1,0)</f>
        <v>-0.44755244755244761</v>
      </c>
      <c r="AI68" s="53">
        <f>IFERROR(AI67/AF67-1,0)</f>
        <v>-0.87159533073929962</v>
      </c>
      <c r="AJ68" s="53">
        <f t="shared" ref="AJ68:AK68" si="1423">IFERROR(AJ67/AG67-1,0)</f>
        <v>-0.76271186440677963</v>
      </c>
      <c r="AK68" s="242">
        <f t="shared" si="1423"/>
        <v>-0.85126582278481011</v>
      </c>
      <c r="AL68" s="53">
        <f t="shared" ref="AL68" si="1424">IFERROR(AL67/AI67-1,0)</f>
        <v>0.1515151515151516</v>
      </c>
      <c r="AM68" s="53">
        <f t="shared" ref="AM68:AN68" si="1425">IFERROR(AM67/AJ67-1,0)</f>
        <v>-0.1428571428571429</v>
      </c>
      <c r="AN68" s="242">
        <f t="shared" si="1425"/>
        <v>6.3829787234042534E-2</v>
      </c>
      <c r="AO68" s="53">
        <f t="shared" ref="AO68" si="1426">IFERROR(AO67/AL67-1,0)</f>
        <v>-0.81578947368421051</v>
      </c>
      <c r="AP68" s="53">
        <f t="shared" ref="AP68" si="1427">IFERROR(AP67/AM67-1,0)</f>
        <v>8.3333333333333259E-2</v>
      </c>
      <c r="AQ68" s="242">
        <f t="shared" ref="AQ68:AT68" si="1428">IFERROR(AQ67/AN67-1,0)</f>
        <v>-0.6</v>
      </c>
      <c r="AR68" s="53">
        <f t="shared" ref="AR68" si="1429">IFERROR(AR67/AO67-1,0)</f>
        <v>3.4285714285714288</v>
      </c>
      <c r="AS68" s="53">
        <f t="shared" si="1428"/>
        <v>-0.15384615384615385</v>
      </c>
      <c r="AT68" s="242">
        <f t="shared" si="1428"/>
        <v>1.1000000000000001</v>
      </c>
      <c r="AU68" s="283">
        <f>IFERROR(AU67/AF67-1,0)</f>
        <v>-0.57587548638132291</v>
      </c>
      <c r="AV68" s="283">
        <f t="shared" ref="AV68" si="1430">IFERROR(AV67/AG67-1,0)</f>
        <v>-0.15254237288135597</v>
      </c>
      <c r="AW68" s="242">
        <f>IFERROR(AW67/AH67-1,0)</f>
        <v>-0.49683544303797467</v>
      </c>
      <c r="AX68" s="210">
        <v>0.01</v>
      </c>
      <c r="AY68" s="210">
        <v>0.01</v>
      </c>
      <c r="AZ68" s="236"/>
      <c r="BA68" s="236"/>
      <c r="BB68" s="240"/>
      <c r="BC68" s="236"/>
      <c r="BD68" s="236"/>
      <c r="BE68" s="240"/>
      <c r="BF68" s="236"/>
      <c r="BG68" s="236"/>
      <c r="BH68" s="240"/>
      <c r="BI68" s="236"/>
      <c r="BJ68" s="236"/>
      <c r="BK68" s="240"/>
      <c r="BL68" s="236"/>
      <c r="BM68" s="236"/>
      <c r="BN68" s="240"/>
    </row>
    <row r="69" spans="1:66" x14ac:dyDescent="0.35">
      <c r="A69" s="244" t="s">
        <v>29</v>
      </c>
      <c r="E69" s="236"/>
      <c r="F69" s="236"/>
      <c r="G69" s="240"/>
      <c r="H69" s="247">
        <f>H68</f>
        <v>0</v>
      </c>
      <c r="I69" s="247">
        <f t="shared" ref="I69" si="1431">I68</f>
        <v>0</v>
      </c>
      <c r="J69" s="248">
        <f t="shared" ref="J69" si="1432">J68</f>
        <v>0</v>
      </c>
      <c r="K69" s="247">
        <f t="shared" ref="K69" si="1433">K68</f>
        <v>0</v>
      </c>
      <c r="L69" s="247">
        <f t="shared" ref="L69" si="1434">L68</f>
        <v>0</v>
      </c>
      <c r="M69" s="248">
        <f t="shared" ref="M69" si="1435">M68</f>
        <v>0</v>
      </c>
      <c r="N69" s="247">
        <f t="shared" ref="N69" si="1436">N68</f>
        <v>0</v>
      </c>
      <c r="O69" s="247">
        <f t="shared" ref="O69" si="1437">O68</f>
        <v>0</v>
      </c>
      <c r="P69" s="248">
        <f t="shared" ref="P69" si="1438">P68</f>
        <v>0</v>
      </c>
      <c r="Q69" s="247">
        <f t="shared" ref="Q69" si="1439">Q68</f>
        <v>0</v>
      </c>
      <c r="R69" s="247">
        <f t="shared" ref="R69" si="1440">R68</f>
        <v>0</v>
      </c>
      <c r="S69" s="248">
        <f t="shared" ref="S69" si="1441">S68</f>
        <v>0</v>
      </c>
      <c r="T69" s="247">
        <f t="shared" ref="T69" si="1442">T68</f>
        <v>0</v>
      </c>
      <c r="U69" s="247">
        <f t="shared" ref="U69" si="1443">U68</f>
        <v>0</v>
      </c>
      <c r="V69" s="248">
        <f t="shared" ref="V69" si="1444">V68</f>
        <v>0</v>
      </c>
      <c r="W69" s="247">
        <f t="shared" ref="W69" si="1445">W68</f>
        <v>0</v>
      </c>
      <c r="X69" s="247">
        <f t="shared" ref="X69" si="1446">X68</f>
        <v>0</v>
      </c>
      <c r="Y69" s="248">
        <f t="shared" ref="Y69" si="1447">Y68</f>
        <v>0</v>
      </c>
      <c r="Z69" s="247">
        <f t="shared" ref="Z69" si="1448">Z68</f>
        <v>3.0254237288135597</v>
      </c>
      <c r="AA69" s="247">
        <f t="shared" ref="AA69" si="1449">AA68</f>
        <v>-0.14814814814814814</v>
      </c>
      <c r="AB69" s="248">
        <f t="shared" ref="AB69" si="1450">AB68</f>
        <v>1.5088495575221237</v>
      </c>
      <c r="AC69" s="247">
        <f t="shared" ref="AC69" si="1451">AC68</f>
        <v>8.4210526315788847E-3</v>
      </c>
      <c r="AD69" s="247">
        <f t="shared" ref="AD69" si="1452">AD68</f>
        <v>1.0869565217391353E-2</v>
      </c>
      <c r="AE69" s="248">
        <f t="shared" ref="AE69" si="1453">AE68</f>
        <v>8.818342151675429E-3</v>
      </c>
      <c r="AF69" s="247">
        <f t="shared" ref="AF69" si="1454">AF68</f>
        <v>-0.4634655532359081</v>
      </c>
      <c r="AG69" s="247">
        <f t="shared" ref="AG69" si="1455">AG68</f>
        <v>-0.36559139784946237</v>
      </c>
      <c r="AH69" s="248">
        <f t="shared" ref="AH69" si="1456">AH68</f>
        <v>-0.44755244755244761</v>
      </c>
      <c r="AI69" s="249">
        <f>AI68</f>
        <v>-0.87159533073929962</v>
      </c>
      <c r="AJ69" s="249">
        <f t="shared" ref="AJ69" si="1457">AJ68</f>
        <v>-0.76271186440677963</v>
      </c>
      <c r="AK69" s="249">
        <f t="shared" ref="AK69" si="1458">AK68</f>
        <v>-0.85126582278481011</v>
      </c>
      <c r="AL69" s="249">
        <f t="shared" ref="AL69" si="1459">AL68</f>
        <v>0.1515151515151516</v>
      </c>
      <c r="AM69" s="249">
        <f t="shared" ref="AM69" si="1460">AM68</f>
        <v>-0.1428571428571429</v>
      </c>
      <c r="AN69" s="249">
        <f t="shared" ref="AN69" si="1461">AN68</f>
        <v>6.3829787234042534E-2</v>
      </c>
      <c r="AO69" s="249">
        <f t="shared" ref="AO69" si="1462">AO68</f>
        <v>-0.81578947368421051</v>
      </c>
      <c r="AP69" s="249">
        <f t="shared" ref="AP69" si="1463">AP68</f>
        <v>8.3333333333333259E-2</v>
      </c>
      <c r="AQ69" s="249">
        <f t="shared" ref="AQ69" si="1464">AQ68</f>
        <v>-0.6</v>
      </c>
      <c r="AR69" s="249">
        <f t="shared" ref="AR69" si="1465">AR68</f>
        <v>3.4285714285714288</v>
      </c>
      <c r="AS69" s="249">
        <f t="shared" ref="AS69" si="1466">AS68</f>
        <v>-0.15384615384615385</v>
      </c>
      <c r="AT69" s="249">
        <f t="shared" ref="AT69" si="1467">AT68</f>
        <v>1.1000000000000001</v>
      </c>
      <c r="AU69" s="250">
        <f>AU68</f>
        <v>-0.57587548638132291</v>
      </c>
      <c r="AV69" s="250">
        <f t="shared" ref="AV69" si="1468">AV68</f>
        <v>-0.15254237288135597</v>
      </c>
      <c r="AW69" s="248">
        <f t="shared" ref="AW69" si="1469">AW68</f>
        <v>-0.49683544303797467</v>
      </c>
      <c r="AX69" s="278"/>
      <c r="AY69" s="278"/>
      <c r="AZ69" s="236"/>
      <c r="BA69" s="236"/>
      <c r="BB69" s="240"/>
      <c r="BC69" s="236"/>
      <c r="BD69" s="236"/>
      <c r="BE69" s="240"/>
      <c r="BF69" s="236"/>
      <c r="BG69" s="236"/>
      <c r="BH69" s="240"/>
      <c r="BI69" s="236"/>
      <c r="BJ69" s="236"/>
      <c r="BK69" s="240"/>
      <c r="BL69" s="236"/>
      <c r="BM69" s="236"/>
      <c r="BN69" s="240"/>
    </row>
    <row r="70" spans="1:66" x14ac:dyDescent="0.35">
      <c r="A70" s="69" t="s">
        <v>2</v>
      </c>
      <c r="B70" s="2"/>
      <c r="C70" s="2"/>
      <c r="D70" s="2"/>
      <c r="E70" s="259">
        <v>0</v>
      </c>
      <c r="F70" s="259">
        <v>0</v>
      </c>
      <c r="G70" s="260">
        <f>E70+F70</f>
        <v>0</v>
      </c>
      <c r="H70" s="259">
        <v>0</v>
      </c>
      <c r="I70" s="259">
        <v>0</v>
      </c>
      <c r="J70" s="260">
        <f>H70+I70</f>
        <v>0</v>
      </c>
      <c r="K70" s="259">
        <v>0</v>
      </c>
      <c r="L70" s="259">
        <v>0</v>
      </c>
      <c r="M70" s="260">
        <f>K70+L70</f>
        <v>0</v>
      </c>
      <c r="N70" s="259">
        <v>0</v>
      </c>
      <c r="O70" s="259">
        <v>0</v>
      </c>
      <c r="P70" s="260">
        <f>N70+O70</f>
        <v>0</v>
      </c>
      <c r="Q70" s="259">
        <v>0</v>
      </c>
      <c r="R70" s="259">
        <v>0</v>
      </c>
      <c r="S70" s="260">
        <f>Q70+R70</f>
        <v>0</v>
      </c>
      <c r="T70" s="259">
        <v>0</v>
      </c>
      <c r="U70" s="259">
        <v>0</v>
      </c>
      <c r="V70" s="260">
        <f>T70+U70</f>
        <v>0</v>
      </c>
      <c r="W70" s="259">
        <v>139</v>
      </c>
      <c r="X70" s="259">
        <v>39</v>
      </c>
      <c r="Y70" s="260">
        <f>W70+X70</f>
        <v>178</v>
      </c>
      <c r="Z70" s="259">
        <v>1790</v>
      </c>
      <c r="AA70" s="259">
        <v>405</v>
      </c>
      <c r="AB70" s="260">
        <f>Z70+AA70</f>
        <v>2195</v>
      </c>
      <c r="AC70" s="259">
        <v>1804</v>
      </c>
      <c r="AD70" s="259">
        <v>445</v>
      </c>
      <c r="AE70" s="260">
        <f>AC70+AD70</f>
        <v>2249</v>
      </c>
      <c r="AF70" s="259">
        <v>1886</v>
      </c>
      <c r="AG70" s="259">
        <v>402</v>
      </c>
      <c r="AH70" s="260">
        <f>AF70+AG70</f>
        <v>2288</v>
      </c>
      <c r="AI70" s="6">
        <v>294</v>
      </c>
      <c r="AJ70" s="6">
        <v>98</v>
      </c>
      <c r="AK70" s="5">
        <f>AJ70+AI70</f>
        <v>392</v>
      </c>
      <c r="AL70" s="6">
        <v>495</v>
      </c>
      <c r="AM70" s="6">
        <v>105</v>
      </c>
      <c r="AN70" s="5">
        <f>AM70+AL70</f>
        <v>600</v>
      </c>
      <c r="AO70" s="6">
        <v>462</v>
      </c>
      <c r="AP70" s="6">
        <v>105</v>
      </c>
      <c r="AQ70" s="5">
        <f>AP70+AO70</f>
        <v>567</v>
      </c>
      <c r="AR70" s="6">
        <v>526</v>
      </c>
      <c r="AS70" s="6">
        <v>103</v>
      </c>
      <c r="AT70" s="5">
        <f>AS70+AR70</f>
        <v>629</v>
      </c>
      <c r="AU70" s="259">
        <f>AI70+AL70+AO70+AR70</f>
        <v>1777</v>
      </c>
      <c r="AV70" s="259">
        <f>AJ70+AM70+AP70+AS70</f>
        <v>411</v>
      </c>
      <c r="AW70" s="260">
        <f>AU70+AV70</f>
        <v>2188</v>
      </c>
      <c r="AX70" s="277"/>
      <c r="AY70" s="277"/>
      <c r="AZ70" s="259">
        <f>AU70*(1+AX71+0.1)</f>
        <v>2221.25</v>
      </c>
      <c r="BA70" s="259">
        <f>AV70*(1+AY71)</f>
        <v>452.1</v>
      </c>
      <c r="BB70" s="260">
        <f>AZ70+BA70</f>
        <v>2673.35</v>
      </c>
      <c r="BC70" s="259">
        <f>AZ70*(1+$AX71-0.1)</f>
        <v>2332.3124999999995</v>
      </c>
      <c r="BD70" s="259">
        <f>BA70*(1+$AY71)</f>
        <v>497.31000000000006</v>
      </c>
      <c r="BE70" s="260">
        <f>BC70+BD70</f>
        <v>2829.6224999999995</v>
      </c>
      <c r="BF70" s="259">
        <f>BC70*(1+$AX71-0.1)</f>
        <v>2448.928124999999</v>
      </c>
      <c r="BG70" s="259">
        <f>BD70*(1+$AY71)</f>
        <v>547.04100000000005</v>
      </c>
      <c r="BH70" s="260">
        <f>BF70+BG70</f>
        <v>2995.9691249999992</v>
      </c>
      <c r="BI70" s="259">
        <f>BF70*(1+$AX71-0.1)</f>
        <v>2571.3745312499987</v>
      </c>
      <c r="BJ70" s="259">
        <f>BG70*(1+$AY71)</f>
        <v>601.74510000000009</v>
      </c>
      <c r="BK70" s="260">
        <f>BI70+BJ70</f>
        <v>3173.1196312499987</v>
      </c>
      <c r="BL70" s="259">
        <f>BI70*(1+$AX71-0.1)</f>
        <v>2699.9432578124979</v>
      </c>
      <c r="BM70" s="259">
        <f>BJ70*(1+$AY71)</f>
        <v>661.91961000000015</v>
      </c>
      <c r="BN70" s="260">
        <f>BL70+BM70</f>
        <v>3361.8628678124978</v>
      </c>
    </row>
    <row r="71" spans="1:66" x14ac:dyDescent="0.35">
      <c r="A71" s="241" t="s">
        <v>28</v>
      </c>
      <c r="E71" s="53"/>
      <c r="F71" s="53"/>
      <c r="G71" s="242"/>
      <c r="H71" s="53">
        <f t="shared" ref="H71" si="1470">IFERROR(H70/E70-1,0)</f>
        <v>0</v>
      </c>
      <c r="I71" s="53">
        <f t="shared" ref="I71" si="1471">IFERROR(I70/F70-1,0)</f>
        <v>0</v>
      </c>
      <c r="J71" s="242">
        <f t="shared" ref="J71" si="1472">IFERROR(J70/G70-1,0)</f>
        <v>0</v>
      </c>
      <c r="K71" s="53">
        <f>IFERROR(K70/H70-1,0)</f>
        <v>0</v>
      </c>
      <c r="L71" s="53">
        <f t="shared" ref="L71" si="1473">IFERROR(L70/I70-1,0)</f>
        <v>0</v>
      </c>
      <c r="M71" s="242">
        <f t="shared" ref="M71" si="1474">IFERROR(M70/J70-1,0)</f>
        <v>0</v>
      </c>
      <c r="N71" s="53">
        <f t="shared" ref="N71" si="1475">IFERROR(N70/K70-1,0)</f>
        <v>0</v>
      </c>
      <c r="O71" s="53">
        <f t="shared" ref="O71" si="1476">IFERROR(O70/L70-1,0)</f>
        <v>0</v>
      </c>
      <c r="P71" s="242">
        <f t="shared" ref="P71" si="1477">IFERROR(P70/M70-1,0)</f>
        <v>0</v>
      </c>
      <c r="Q71" s="53">
        <f t="shared" ref="Q71" si="1478">IFERROR(Q70/N70-1,0)</f>
        <v>0</v>
      </c>
      <c r="R71" s="53">
        <f t="shared" ref="R71" si="1479">IFERROR(R70/O70-1,0)</f>
        <v>0</v>
      </c>
      <c r="S71" s="242">
        <f t="shared" ref="S71" si="1480">IFERROR(S70/P70-1,0)</f>
        <v>0</v>
      </c>
      <c r="T71" s="53">
        <f t="shared" ref="T71" si="1481">IFERROR(T70/Q70-1,0)</f>
        <v>0</v>
      </c>
      <c r="U71" s="53">
        <f t="shared" ref="U71" si="1482">IFERROR(U70/R70-1,0)</f>
        <v>0</v>
      </c>
      <c r="V71" s="242">
        <f t="shared" ref="V71" si="1483">IFERROR(V70/S70-1,0)</f>
        <v>0</v>
      </c>
      <c r="W71" s="53">
        <f t="shared" ref="W71" si="1484">IFERROR(W70/T70-1,0)</f>
        <v>0</v>
      </c>
      <c r="X71" s="53">
        <f t="shared" ref="X71" si="1485">IFERROR(X70/U70-1,0)</f>
        <v>0</v>
      </c>
      <c r="Y71" s="242">
        <f t="shared" ref="Y71" si="1486">IFERROR(Y70/V70-1,0)</f>
        <v>0</v>
      </c>
      <c r="Z71" s="53">
        <f t="shared" ref="Z71" si="1487">IFERROR(Z70/W70-1,0)</f>
        <v>11.877697841726619</v>
      </c>
      <c r="AA71" s="53">
        <f t="shared" ref="AA71" si="1488">IFERROR(AA70/X70-1,0)</f>
        <v>9.384615384615385</v>
      </c>
      <c r="AB71" s="242">
        <f t="shared" ref="AB71" si="1489">IFERROR(AB70/Y70-1,0)</f>
        <v>11.331460674157304</v>
      </c>
      <c r="AC71" s="53">
        <f t="shared" ref="AC71" si="1490">IFERROR(AC70/Z70-1,0)</f>
        <v>7.8212290502792658E-3</v>
      </c>
      <c r="AD71" s="53">
        <f t="shared" ref="AD71" si="1491">IFERROR(AD70/AA70-1,0)</f>
        <v>9.8765432098765427E-2</v>
      </c>
      <c r="AE71" s="242">
        <f t="shared" ref="AE71" si="1492">IFERROR(AE70/AB70-1,0)</f>
        <v>2.4601366742596831E-2</v>
      </c>
      <c r="AF71" s="53">
        <f t="shared" ref="AF71" si="1493">IFERROR(AF70/AC70-1,0)</f>
        <v>4.5454545454545414E-2</v>
      </c>
      <c r="AG71" s="53">
        <f t="shared" ref="AG71" si="1494">IFERROR(AG70/AD70-1,0)</f>
        <v>-9.6629213483146015E-2</v>
      </c>
      <c r="AH71" s="242">
        <f t="shared" ref="AH71" si="1495">IFERROR(AH70/AE70-1,0)</f>
        <v>1.7341040462427681E-2</v>
      </c>
      <c r="AI71" s="53">
        <f>IFERROR(AI70/AF70-1,0)</f>
        <v>-0.84411452810180276</v>
      </c>
      <c r="AJ71" s="53">
        <f t="shared" ref="AJ71:AK71" si="1496">IFERROR(AJ70/AG70-1,0)</f>
        <v>-0.75621890547263682</v>
      </c>
      <c r="AK71" s="242">
        <f t="shared" si="1496"/>
        <v>-0.82867132867132864</v>
      </c>
      <c r="AL71" s="53">
        <f t="shared" ref="AL71" si="1497">IFERROR(AL70/AI70-1,0)</f>
        <v>0.68367346938775508</v>
      </c>
      <c r="AM71" s="53">
        <f t="shared" ref="AM71:AN71" si="1498">IFERROR(AM70/AJ70-1,0)</f>
        <v>7.1428571428571397E-2</v>
      </c>
      <c r="AN71" s="242">
        <f t="shared" si="1498"/>
        <v>0.53061224489795911</v>
      </c>
      <c r="AO71" s="53">
        <f t="shared" ref="AO71" si="1499">IFERROR(AO70/AL70-1,0)</f>
        <v>-6.6666666666666652E-2</v>
      </c>
      <c r="AP71" s="53">
        <f t="shared" ref="AP71" si="1500">IFERROR(AP70/AM70-1,0)</f>
        <v>0</v>
      </c>
      <c r="AQ71" s="242">
        <f t="shared" ref="AQ71:AT71" si="1501">IFERROR(AQ70/AN70-1,0)</f>
        <v>-5.5000000000000049E-2</v>
      </c>
      <c r="AR71" s="53">
        <f t="shared" ref="AR71" si="1502">IFERROR(AR70/AO70-1,0)</f>
        <v>0.1385281385281385</v>
      </c>
      <c r="AS71" s="53">
        <f t="shared" si="1501"/>
        <v>-1.9047619047619091E-2</v>
      </c>
      <c r="AT71" s="242">
        <f t="shared" si="1501"/>
        <v>0.10934744268077612</v>
      </c>
      <c r="AU71" s="283">
        <f>IFERROR(AU70/AF70-1,0)</f>
        <v>-5.7794273594909851E-2</v>
      </c>
      <c r="AV71" s="283">
        <f t="shared" ref="AV71" si="1503">IFERROR(AV70/AG70-1,0)</f>
        <v>2.2388059701492491E-2</v>
      </c>
      <c r="AW71" s="242">
        <f>IFERROR(AW70/AH70-1,0)</f>
        <v>-4.3706293706293753E-2</v>
      </c>
      <c r="AX71" s="210">
        <v>0.15</v>
      </c>
      <c r="AY71" s="210">
        <v>0.1</v>
      </c>
      <c r="AZ71" s="236"/>
      <c r="BA71" s="236"/>
      <c r="BB71" s="240"/>
      <c r="BC71" s="236"/>
      <c r="BD71" s="236"/>
      <c r="BE71" s="240"/>
      <c r="BF71" s="236"/>
      <c r="BG71" s="236"/>
      <c r="BH71" s="240"/>
      <c r="BI71" s="236"/>
      <c r="BJ71" s="236"/>
      <c r="BK71" s="240"/>
      <c r="BL71" s="236"/>
      <c r="BM71" s="236"/>
      <c r="BN71" s="240"/>
    </row>
    <row r="72" spans="1:66" x14ac:dyDescent="0.35">
      <c r="A72" s="244" t="s">
        <v>29</v>
      </c>
      <c r="E72" s="236"/>
      <c r="F72" s="236"/>
      <c r="G72" s="240"/>
      <c r="H72" s="247">
        <f>H71</f>
        <v>0</v>
      </c>
      <c r="I72" s="247">
        <f t="shared" ref="I72" si="1504">I71</f>
        <v>0</v>
      </c>
      <c r="J72" s="248">
        <f t="shared" ref="J72" si="1505">J71</f>
        <v>0</v>
      </c>
      <c r="K72" s="247">
        <f t="shared" ref="K72" si="1506">K71</f>
        <v>0</v>
      </c>
      <c r="L72" s="247">
        <f t="shared" ref="L72" si="1507">L71</f>
        <v>0</v>
      </c>
      <c r="M72" s="248">
        <f t="shared" ref="M72" si="1508">M71</f>
        <v>0</v>
      </c>
      <c r="N72" s="247">
        <f t="shared" ref="N72" si="1509">N71</f>
        <v>0</v>
      </c>
      <c r="O72" s="247">
        <f t="shared" ref="O72" si="1510">O71</f>
        <v>0</v>
      </c>
      <c r="P72" s="248">
        <f t="shared" ref="P72" si="1511">P71</f>
        <v>0</v>
      </c>
      <c r="Q72" s="247">
        <f t="shared" ref="Q72" si="1512">Q71</f>
        <v>0</v>
      </c>
      <c r="R72" s="247">
        <f t="shared" ref="R72" si="1513">R71</f>
        <v>0</v>
      </c>
      <c r="S72" s="248">
        <f t="shared" ref="S72" si="1514">S71</f>
        <v>0</v>
      </c>
      <c r="T72" s="247">
        <f t="shared" ref="T72" si="1515">T71</f>
        <v>0</v>
      </c>
      <c r="U72" s="247">
        <f t="shared" ref="U72" si="1516">U71</f>
        <v>0</v>
      </c>
      <c r="V72" s="248">
        <f t="shared" ref="V72" si="1517">V71</f>
        <v>0</v>
      </c>
      <c r="W72" s="247">
        <f t="shared" ref="W72" si="1518">W71</f>
        <v>0</v>
      </c>
      <c r="X72" s="247">
        <f t="shared" ref="X72" si="1519">X71</f>
        <v>0</v>
      </c>
      <c r="Y72" s="248">
        <f t="shared" ref="Y72" si="1520">Y71</f>
        <v>0</v>
      </c>
      <c r="Z72" s="247">
        <f t="shared" ref="Z72" si="1521">Z71</f>
        <v>11.877697841726619</v>
      </c>
      <c r="AA72" s="247">
        <f t="shared" ref="AA72" si="1522">AA71</f>
        <v>9.384615384615385</v>
      </c>
      <c r="AB72" s="248">
        <f t="shared" ref="AB72" si="1523">AB71</f>
        <v>11.331460674157304</v>
      </c>
      <c r="AC72" s="247">
        <f t="shared" ref="AC72" si="1524">AC71</f>
        <v>7.8212290502792658E-3</v>
      </c>
      <c r="AD72" s="247">
        <f t="shared" ref="AD72" si="1525">AD71</f>
        <v>9.8765432098765427E-2</v>
      </c>
      <c r="AE72" s="248">
        <f t="shared" ref="AE72" si="1526">AE71</f>
        <v>2.4601366742596831E-2</v>
      </c>
      <c r="AF72" s="247">
        <f t="shared" ref="AF72" si="1527">AF71</f>
        <v>4.5454545454545414E-2</v>
      </c>
      <c r="AG72" s="247">
        <f t="shared" ref="AG72" si="1528">AG71</f>
        <v>-9.6629213483146015E-2</v>
      </c>
      <c r="AH72" s="248">
        <f t="shared" ref="AH72" si="1529">AH71</f>
        <v>1.7341040462427681E-2</v>
      </c>
      <c r="AI72" s="249">
        <f>AI71</f>
        <v>-0.84411452810180276</v>
      </c>
      <c r="AJ72" s="249">
        <f t="shared" ref="AJ72" si="1530">AJ71</f>
        <v>-0.75621890547263682</v>
      </c>
      <c r="AK72" s="249">
        <f t="shared" ref="AK72" si="1531">AK71</f>
        <v>-0.82867132867132864</v>
      </c>
      <c r="AL72" s="249">
        <f t="shared" ref="AL72" si="1532">AL71</f>
        <v>0.68367346938775508</v>
      </c>
      <c r="AM72" s="249">
        <f t="shared" ref="AM72" si="1533">AM71</f>
        <v>7.1428571428571397E-2</v>
      </c>
      <c r="AN72" s="249">
        <f t="shared" ref="AN72" si="1534">AN71</f>
        <v>0.53061224489795911</v>
      </c>
      <c r="AO72" s="249">
        <f t="shared" ref="AO72" si="1535">AO71</f>
        <v>-6.6666666666666652E-2</v>
      </c>
      <c r="AP72" s="249">
        <f t="shared" ref="AP72" si="1536">AP71</f>
        <v>0</v>
      </c>
      <c r="AQ72" s="249">
        <f t="shared" ref="AQ72" si="1537">AQ71</f>
        <v>-5.5000000000000049E-2</v>
      </c>
      <c r="AR72" s="249">
        <f t="shared" ref="AR72" si="1538">AR71</f>
        <v>0.1385281385281385</v>
      </c>
      <c r="AS72" s="249">
        <f t="shared" ref="AS72" si="1539">AS71</f>
        <v>-1.9047619047619091E-2</v>
      </c>
      <c r="AT72" s="249">
        <f t="shared" ref="AT72" si="1540">AT71</f>
        <v>0.10934744268077612</v>
      </c>
      <c r="AU72" s="250">
        <f>AU71</f>
        <v>-5.7794273594909851E-2</v>
      </c>
      <c r="AV72" s="250">
        <f t="shared" ref="AV72" si="1541">AV71</f>
        <v>2.2388059701492491E-2</v>
      </c>
      <c r="AW72" s="248">
        <f t="shared" ref="AW72" si="1542">AW71</f>
        <v>-4.3706293706293753E-2</v>
      </c>
      <c r="AX72" s="278"/>
      <c r="AY72" s="278"/>
      <c r="AZ72" s="236"/>
      <c r="BA72" s="236"/>
      <c r="BB72" s="240"/>
      <c r="BC72" s="236"/>
      <c r="BD72" s="236"/>
      <c r="BE72" s="240"/>
      <c r="BF72" s="236"/>
      <c r="BG72" s="236"/>
      <c r="BH72" s="240"/>
      <c r="BI72" s="236"/>
      <c r="BJ72" s="236"/>
      <c r="BK72" s="240"/>
      <c r="BL72" s="236"/>
      <c r="BM72" s="236"/>
      <c r="BN72" s="240"/>
    </row>
    <row r="73" spans="1:66" x14ac:dyDescent="0.35">
      <c r="A73" s="69" t="s">
        <v>7</v>
      </c>
      <c r="B73" s="2"/>
      <c r="C73" s="2"/>
      <c r="D73" s="2"/>
      <c r="E73" s="259">
        <v>0</v>
      </c>
      <c r="F73" s="259">
        <v>0</v>
      </c>
      <c r="G73" s="260">
        <f>E73+F73</f>
        <v>0</v>
      </c>
      <c r="H73" s="259">
        <v>0</v>
      </c>
      <c r="I73" s="259">
        <v>0</v>
      </c>
      <c r="J73" s="260">
        <f>H73+I73</f>
        <v>0</v>
      </c>
      <c r="K73" s="259">
        <v>0</v>
      </c>
      <c r="L73" s="259">
        <v>0</v>
      </c>
      <c r="M73" s="260">
        <f>K73+L73</f>
        <v>0</v>
      </c>
      <c r="N73" s="259">
        <v>0</v>
      </c>
      <c r="O73" s="259">
        <v>0</v>
      </c>
      <c r="P73" s="260">
        <f>N73+O73</f>
        <v>0</v>
      </c>
      <c r="Q73" s="259">
        <v>0</v>
      </c>
      <c r="R73" s="259">
        <v>0</v>
      </c>
      <c r="S73" s="260">
        <f>Q73+R73</f>
        <v>0</v>
      </c>
      <c r="T73" s="259">
        <v>0</v>
      </c>
      <c r="U73" s="259">
        <v>0</v>
      </c>
      <c r="V73" s="260">
        <f>T73+U73</f>
        <v>0</v>
      </c>
      <c r="W73" s="259">
        <v>121</v>
      </c>
      <c r="X73" s="259">
        <v>6</v>
      </c>
      <c r="Y73" s="260">
        <f>W73+X73</f>
        <v>127</v>
      </c>
      <c r="Z73" s="259">
        <v>656</v>
      </c>
      <c r="AA73" s="259">
        <v>142</v>
      </c>
      <c r="AB73" s="260">
        <f>Z73+AA73</f>
        <v>798</v>
      </c>
      <c r="AC73" s="259">
        <v>826</v>
      </c>
      <c r="AD73" s="259">
        <v>340</v>
      </c>
      <c r="AE73" s="260">
        <f>AC73+AD73</f>
        <v>1166</v>
      </c>
      <c r="AF73" s="259">
        <v>602</v>
      </c>
      <c r="AG73" s="259">
        <v>299</v>
      </c>
      <c r="AH73" s="260">
        <f>AF73+AG73</f>
        <v>901</v>
      </c>
      <c r="AI73" s="6">
        <v>121</v>
      </c>
      <c r="AJ73" s="6">
        <v>81</v>
      </c>
      <c r="AK73" s="5">
        <f>AJ73+AI73</f>
        <v>202</v>
      </c>
      <c r="AL73" s="6">
        <v>123</v>
      </c>
      <c r="AM73" s="6">
        <v>74</v>
      </c>
      <c r="AN73" s="5">
        <f>AM73+AL73</f>
        <v>197</v>
      </c>
      <c r="AO73" s="6">
        <v>140</v>
      </c>
      <c r="AP73" s="6">
        <v>73</v>
      </c>
      <c r="AQ73" s="5">
        <f>AP73+AO73</f>
        <v>213</v>
      </c>
      <c r="AR73" s="6">
        <v>127</v>
      </c>
      <c r="AS73" s="6">
        <v>61</v>
      </c>
      <c r="AT73" s="5">
        <f>AS73+AR73</f>
        <v>188</v>
      </c>
      <c r="AU73" s="259">
        <f>AI73+AL73+AO73+AR73</f>
        <v>511</v>
      </c>
      <c r="AV73" s="259">
        <f>AJ73+AM73+AP73+AS73</f>
        <v>289</v>
      </c>
      <c r="AW73" s="260">
        <f>AU73+AV73</f>
        <v>800</v>
      </c>
      <c r="AX73" s="277"/>
      <c r="AY73" s="277"/>
      <c r="AZ73" s="259">
        <f>AU73*(1+AX74)</f>
        <v>516.11</v>
      </c>
      <c r="BA73" s="259">
        <f>AV73*(1+AY74)</f>
        <v>291.89</v>
      </c>
      <c r="BB73" s="260">
        <f>AZ73+BA73</f>
        <v>808</v>
      </c>
      <c r="BC73" s="259">
        <f>AZ73*(1+$AX74)</f>
        <v>521.27110000000005</v>
      </c>
      <c r="BD73" s="259">
        <f>BA73*(1+$AY74)</f>
        <v>294.80889999999999</v>
      </c>
      <c r="BE73" s="260">
        <f>BC73+BD73</f>
        <v>816.08</v>
      </c>
      <c r="BF73" s="259">
        <f>BC73*(1+$AX74)</f>
        <v>526.48381100000006</v>
      </c>
      <c r="BG73" s="259">
        <f>BD73*(1+$AY74)</f>
        <v>297.75698899999998</v>
      </c>
      <c r="BH73" s="260">
        <f>BF73+BG73</f>
        <v>824.24080000000004</v>
      </c>
      <c r="BI73" s="259">
        <f>BF73*(1+$AX74-0.15)</f>
        <v>452.77607746000007</v>
      </c>
      <c r="BJ73" s="259">
        <f>BG73*(1+$AY74)</f>
        <v>300.73455888999996</v>
      </c>
      <c r="BK73" s="260">
        <f>BI73+BJ73</f>
        <v>753.51063635000003</v>
      </c>
      <c r="BL73" s="259">
        <f>BI73*(1+$AX74-0.12)</f>
        <v>402.97070893940008</v>
      </c>
      <c r="BM73" s="259">
        <f>BJ73*(1+$AY74)</f>
        <v>303.74190447889998</v>
      </c>
      <c r="BN73" s="260">
        <f>BL73+BM73</f>
        <v>706.71261341830007</v>
      </c>
    </row>
    <row r="74" spans="1:66" x14ac:dyDescent="0.35">
      <c r="A74" s="241" t="s">
        <v>28</v>
      </c>
      <c r="E74" s="53"/>
      <c r="F74" s="53"/>
      <c r="G74" s="242"/>
      <c r="H74" s="53">
        <f t="shared" ref="H74" si="1543">IFERROR(H73/E73-1,0)</f>
        <v>0</v>
      </c>
      <c r="I74" s="53">
        <f t="shared" ref="I74" si="1544">IFERROR(I73/F73-1,0)</f>
        <v>0</v>
      </c>
      <c r="J74" s="242">
        <f t="shared" ref="J74" si="1545">IFERROR(J73/G73-1,0)</f>
        <v>0</v>
      </c>
      <c r="K74" s="53">
        <f>IFERROR(K73/H73-1,0)</f>
        <v>0</v>
      </c>
      <c r="L74" s="53">
        <f t="shared" ref="L74" si="1546">IFERROR(L73/I73-1,0)</f>
        <v>0</v>
      </c>
      <c r="M74" s="242">
        <f t="shared" ref="M74" si="1547">IFERROR(M73/J73-1,0)</f>
        <v>0</v>
      </c>
      <c r="N74" s="53">
        <f t="shared" ref="N74" si="1548">IFERROR(N73/K73-1,0)</f>
        <v>0</v>
      </c>
      <c r="O74" s="53">
        <f t="shared" ref="O74" si="1549">IFERROR(O73/L73-1,0)</f>
        <v>0</v>
      </c>
      <c r="P74" s="242">
        <f t="shared" ref="P74" si="1550">IFERROR(P73/M73-1,0)</f>
        <v>0</v>
      </c>
      <c r="Q74" s="53">
        <f t="shared" ref="Q74" si="1551">IFERROR(Q73/N73-1,0)</f>
        <v>0</v>
      </c>
      <c r="R74" s="53">
        <f t="shared" ref="R74" si="1552">IFERROR(R73/O73-1,0)</f>
        <v>0</v>
      </c>
      <c r="S74" s="242">
        <f t="shared" ref="S74" si="1553">IFERROR(S73/P73-1,0)</f>
        <v>0</v>
      </c>
      <c r="T74" s="53">
        <f t="shared" ref="T74" si="1554">IFERROR(T73/Q73-1,0)</f>
        <v>0</v>
      </c>
      <c r="U74" s="53">
        <f t="shared" ref="U74" si="1555">IFERROR(U73/R73-1,0)</f>
        <v>0</v>
      </c>
      <c r="V74" s="242">
        <f t="shared" ref="V74" si="1556">IFERROR(V73/S73-1,0)</f>
        <v>0</v>
      </c>
      <c r="W74" s="53">
        <f t="shared" ref="W74" si="1557">IFERROR(W73/T73-1,0)</f>
        <v>0</v>
      </c>
      <c r="X74" s="53">
        <f t="shared" ref="X74" si="1558">IFERROR(X73/U73-1,0)</f>
        <v>0</v>
      </c>
      <c r="Y74" s="242">
        <f t="shared" ref="Y74" si="1559">IFERROR(Y73/V73-1,0)</f>
        <v>0</v>
      </c>
      <c r="Z74" s="53">
        <f t="shared" ref="Z74" si="1560">IFERROR(Z73/W73-1,0)</f>
        <v>4.4214876033057848</v>
      </c>
      <c r="AA74" s="53">
        <f t="shared" ref="AA74" si="1561">IFERROR(AA73/X73-1,0)</f>
        <v>22.666666666666668</v>
      </c>
      <c r="AB74" s="242">
        <f t="shared" ref="AB74" si="1562">IFERROR(AB73/Y73-1,0)</f>
        <v>5.2834645669291342</v>
      </c>
      <c r="AC74" s="53">
        <f t="shared" ref="AC74" si="1563">IFERROR(AC73/Z73-1,0)</f>
        <v>0.25914634146341453</v>
      </c>
      <c r="AD74" s="53">
        <f t="shared" ref="AD74" si="1564">IFERROR(AD73/AA73-1,0)</f>
        <v>1.3943661971830985</v>
      </c>
      <c r="AE74" s="242">
        <f t="shared" ref="AE74" si="1565">IFERROR(AE73/AB73-1,0)</f>
        <v>0.46115288220551376</v>
      </c>
      <c r="AF74" s="53">
        <f t="shared" ref="AF74" si="1566">IFERROR(AF73/AC73-1,0)</f>
        <v>-0.27118644067796616</v>
      </c>
      <c r="AG74" s="53">
        <f t="shared" ref="AG74" si="1567">IFERROR(AG73/AD73-1,0)</f>
        <v>-0.12058823529411766</v>
      </c>
      <c r="AH74" s="242">
        <f t="shared" ref="AH74" si="1568">IFERROR(AH73/AE73-1,0)</f>
        <v>-0.22727272727272729</v>
      </c>
      <c r="AI74" s="53">
        <f>IFERROR(AI73/AF73-1,0)</f>
        <v>-0.79900332225913617</v>
      </c>
      <c r="AJ74" s="53">
        <f t="shared" ref="AJ74:AK74" si="1569">IFERROR(AJ73/AG73-1,0)</f>
        <v>-0.72909698996655514</v>
      </c>
      <c r="AK74" s="242">
        <f t="shared" si="1569"/>
        <v>-0.77580466148723637</v>
      </c>
      <c r="AL74" s="53">
        <f t="shared" ref="AL74" si="1570">IFERROR(AL73/AI73-1,0)</f>
        <v>1.6528925619834656E-2</v>
      </c>
      <c r="AM74" s="53">
        <f t="shared" ref="AM74:AN74" si="1571">IFERROR(AM73/AJ73-1,0)</f>
        <v>-8.6419753086419804E-2</v>
      </c>
      <c r="AN74" s="242">
        <f t="shared" si="1571"/>
        <v>-2.4752475247524774E-2</v>
      </c>
      <c r="AO74" s="53">
        <f t="shared" ref="AO74" si="1572">IFERROR(AO73/AL73-1,0)</f>
        <v>0.13821138211382111</v>
      </c>
      <c r="AP74" s="53">
        <f t="shared" ref="AP74" si="1573">IFERROR(AP73/AM73-1,0)</f>
        <v>-1.3513513513513487E-2</v>
      </c>
      <c r="AQ74" s="242">
        <f t="shared" ref="AQ74:AT74" si="1574">IFERROR(AQ73/AN73-1,0)</f>
        <v>8.1218274111675148E-2</v>
      </c>
      <c r="AR74" s="53">
        <f t="shared" ref="AR74" si="1575">IFERROR(AR73/AO73-1,0)</f>
        <v>-9.285714285714286E-2</v>
      </c>
      <c r="AS74" s="53">
        <f t="shared" si="1574"/>
        <v>-0.16438356164383561</v>
      </c>
      <c r="AT74" s="242">
        <f t="shared" si="1574"/>
        <v>-0.11737089201877937</v>
      </c>
      <c r="AU74" s="283">
        <f>IFERROR(AU73/AF73-1,0)</f>
        <v>-0.15116279069767447</v>
      </c>
      <c r="AV74" s="283">
        <f t="shared" ref="AV74" si="1576">IFERROR(AV73/AG73-1,0)</f>
        <v>-3.3444816053511683E-2</v>
      </c>
      <c r="AW74" s="242">
        <f>IFERROR(AW73/AH73-1,0)</f>
        <v>-0.11209766925638176</v>
      </c>
      <c r="AX74" s="210">
        <v>0.01</v>
      </c>
      <c r="AY74" s="210">
        <v>0.01</v>
      </c>
      <c r="AZ74" s="236"/>
      <c r="BA74" s="236"/>
      <c r="BB74" s="240"/>
      <c r="BC74" s="236"/>
      <c r="BD74" s="236"/>
      <c r="BE74" s="240"/>
      <c r="BF74" s="236"/>
      <c r="BG74" s="236"/>
      <c r="BH74" s="240"/>
      <c r="BI74" s="236"/>
      <c r="BJ74" s="236"/>
      <c r="BK74" s="240"/>
      <c r="BL74" s="236"/>
      <c r="BM74" s="236"/>
      <c r="BN74" s="240"/>
    </row>
    <row r="75" spans="1:66" x14ac:dyDescent="0.35">
      <c r="A75" s="244" t="s">
        <v>29</v>
      </c>
      <c r="E75" s="236"/>
      <c r="F75" s="236"/>
      <c r="G75" s="240"/>
      <c r="H75" s="247">
        <f>H74</f>
        <v>0</v>
      </c>
      <c r="I75" s="247">
        <f t="shared" ref="I75" si="1577">I74</f>
        <v>0</v>
      </c>
      <c r="J75" s="248">
        <f t="shared" ref="J75" si="1578">J74</f>
        <v>0</v>
      </c>
      <c r="K75" s="247">
        <f t="shared" ref="K75" si="1579">K74</f>
        <v>0</v>
      </c>
      <c r="L75" s="247">
        <f t="shared" ref="L75" si="1580">L74</f>
        <v>0</v>
      </c>
      <c r="M75" s="248">
        <f t="shared" ref="M75" si="1581">M74</f>
        <v>0</v>
      </c>
      <c r="N75" s="247">
        <f t="shared" ref="N75" si="1582">N74</f>
        <v>0</v>
      </c>
      <c r="O75" s="247">
        <f t="shared" ref="O75" si="1583">O74</f>
        <v>0</v>
      </c>
      <c r="P75" s="248">
        <f t="shared" ref="P75" si="1584">P74</f>
        <v>0</v>
      </c>
      <c r="Q75" s="247">
        <f t="shared" ref="Q75" si="1585">Q74</f>
        <v>0</v>
      </c>
      <c r="R75" s="247">
        <f t="shared" ref="R75" si="1586">R74</f>
        <v>0</v>
      </c>
      <c r="S75" s="248">
        <f t="shared" ref="S75" si="1587">S74</f>
        <v>0</v>
      </c>
      <c r="T75" s="247">
        <f t="shared" ref="T75" si="1588">T74</f>
        <v>0</v>
      </c>
      <c r="U75" s="247">
        <f t="shared" ref="U75" si="1589">U74</f>
        <v>0</v>
      </c>
      <c r="V75" s="248">
        <f t="shared" ref="V75" si="1590">V74</f>
        <v>0</v>
      </c>
      <c r="W75" s="247">
        <f t="shared" ref="W75" si="1591">W74</f>
        <v>0</v>
      </c>
      <c r="X75" s="247">
        <f t="shared" ref="X75" si="1592">X74</f>
        <v>0</v>
      </c>
      <c r="Y75" s="248">
        <f t="shared" ref="Y75" si="1593">Y74</f>
        <v>0</v>
      </c>
      <c r="Z75" s="247">
        <f t="shared" ref="Z75" si="1594">Z74</f>
        <v>4.4214876033057848</v>
      </c>
      <c r="AA75" s="247">
        <f t="shared" ref="AA75" si="1595">AA74</f>
        <v>22.666666666666668</v>
      </c>
      <c r="AB75" s="248">
        <f t="shared" ref="AB75" si="1596">AB74</f>
        <v>5.2834645669291342</v>
      </c>
      <c r="AC75" s="247">
        <f t="shared" ref="AC75" si="1597">AC74</f>
        <v>0.25914634146341453</v>
      </c>
      <c r="AD75" s="247">
        <f t="shared" ref="AD75" si="1598">AD74</f>
        <v>1.3943661971830985</v>
      </c>
      <c r="AE75" s="248">
        <f t="shared" ref="AE75" si="1599">AE74</f>
        <v>0.46115288220551376</v>
      </c>
      <c r="AF75" s="247">
        <f t="shared" ref="AF75" si="1600">AF74</f>
        <v>-0.27118644067796616</v>
      </c>
      <c r="AG75" s="247">
        <f t="shared" ref="AG75" si="1601">AG74</f>
        <v>-0.12058823529411766</v>
      </c>
      <c r="AH75" s="248">
        <f t="shared" ref="AH75" si="1602">AH74</f>
        <v>-0.22727272727272729</v>
      </c>
      <c r="AI75" s="249">
        <f>AI74</f>
        <v>-0.79900332225913617</v>
      </c>
      <c r="AJ75" s="249">
        <f t="shared" ref="AJ75" si="1603">AJ74</f>
        <v>-0.72909698996655514</v>
      </c>
      <c r="AK75" s="249">
        <f t="shared" ref="AK75" si="1604">AK74</f>
        <v>-0.77580466148723637</v>
      </c>
      <c r="AL75" s="249">
        <f t="shared" ref="AL75" si="1605">AL74</f>
        <v>1.6528925619834656E-2</v>
      </c>
      <c r="AM75" s="249">
        <f t="shared" ref="AM75" si="1606">AM74</f>
        <v>-8.6419753086419804E-2</v>
      </c>
      <c r="AN75" s="249">
        <f t="shared" ref="AN75" si="1607">AN74</f>
        <v>-2.4752475247524774E-2</v>
      </c>
      <c r="AO75" s="249">
        <f t="shared" ref="AO75" si="1608">AO74</f>
        <v>0.13821138211382111</v>
      </c>
      <c r="AP75" s="249">
        <f t="shared" ref="AP75" si="1609">AP74</f>
        <v>-1.3513513513513487E-2</v>
      </c>
      <c r="AQ75" s="249">
        <f t="shared" ref="AQ75" si="1610">AQ74</f>
        <v>8.1218274111675148E-2</v>
      </c>
      <c r="AR75" s="249">
        <f t="shared" ref="AR75" si="1611">AR74</f>
        <v>-9.285714285714286E-2</v>
      </c>
      <c r="AS75" s="249">
        <f t="shared" ref="AS75" si="1612">AS74</f>
        <v>-0.16438356164383561</v>
      </c>
      <c r="AT75" s="249">
        <f t="shared" ref="AT75" si="1613">AT74</f>
        <v>-0.11737089201877937</v>
      </c>
      <c r="AU75" s="250">
        <f>AU74</f>
        <v>-0.15116279069767447</v>
      </c>
      <c r="AV75" s="250">
        <f t="shared" ref="AV75" si="1614">AV74</f>
        <v>-3.3444816053511683E-2</v>
      </c>
      <c r="AW75" s="248">
        <f t="shared" ref="AW75" si="1615">AW74</f>
        <v>-0.11209766925638176</v>
      </c>
      <c r="AX75" s="278"/>
      <c r="AY75" s="278"/>
      <c r="AZ75" s="236"/>
      <c r="BA75" s="236"/>
      <c r="BB75" s="240"/>
      <c r="BC75" s="236"/>
      <c r="BD75" s="236"/>
      <c r="BE75" s="240"/>
      <c r="BF75" s="236"/>
      <c r="BG75" s="236"/>
      <c r="BH75" s="240"/>
      <c r="BI75" s="236"/>
      <c r="BJ75" s="236"/>
      <c r="BK75" s="240"/>
      <c r="BL75" s="236"/>
      <c r="BM75" s="236"/>
      <c r="BN75" s="240"/>
    </row>
    <row r="76" spans="1:66" x14ac:dyDescent="0.35">
      <c r="A76" s="264" t="s">
        <v>50</v>
      </c>
      <c r="B76" s="2"/>
      <c r="C76" s="2"/>
      <c r="D76" s="2"/>
      <c r="E76" s="259">
        <v>0</v>
      </c>
      <c r="F76" s="259">
        <v>0</v>
      </c>
      <c r="G76" s="260">
        <v>0</v>
      </c>
      <c r="H76" s="265">
        <v>0</v>
      </c>
      <c r="I76" s="265">
        <v>0</v>
      </c>
      <c r="J76" s="266">
        <v>0</v>
      </c>
      <c r="K76" s="265">
        <v>0</v>
      </c>
      <c r="L76" s="265">
        <v>0</v>
      </c>
      <c r="M76" s="266">
        <v>0</v>
      </c>
      <c r="N76" s="265">
        <v>0</v>
      </c>
      <c r="O76" s="265">
        <v>0</v>
      </c>
      <c r="P76" s="266">
        <v>0</v>
      </c>
      <c r="Q76" s="265">
        <v>0</v>
      </c>
      <c r="R76" s="265">
        <v>0</v>
      </c>
      <c r="S76" s="266">
        <v>0</v>
      </c>
      <c r="T76" s="265">
        <v>0</v>
      </c>
      <c r="U76" s="265">
        <v>0</v>
      </c>
      <c r="V76" s="266">
        <v>0</v>
      </c>
      <c r="W76" s="265">
        <v>0</v>
      </c>
      <c r="X76" s="265">
        <v>0</v>
      </c>
      <c r="Y76" s="266">
        <v>0</v>
      </c>
      <c r="Z76" s="265">
        <v>0</v>
      </c>
      <c r="AA76" s="265">
        <v>0</v>
      </c>
      <c r="AB76" s="266">
        <v>0</v>
      </c>
      <c r="AC76" s="265">
        <v>0</v>
      </c>
      <c r="AD76" s="265">
        <v>0</v>
      </c>
      <c r="AE76" s="266">
        <v>0</v>
      </c>
      <c r="AF76" s="265">
        <v>0</v>
      </c>
      <c r="AG76" s="265">
        <v>0</v>
      </c>
      <c r="AH76" s="266">
        <v>0</v>
      </c>
      <c r="AI76" s="265">
        <v>0</v>
      </c>
      <c r="AJ76" s="265">
        <v>0</v>
      </c>
      <c r="AK76" s="5">
        <f>AJ76+AI76</f>
        <v>0</v>
      </c>
      <c r="AL76" s="265">
        <v>0</v>
      </c>
      <c r="AM76" s="265">
        <v>0</v>
      </c>
      <c r="AN76" s="5">
        <f>AM76+AL76</f>
        <v>0</v>
      </c>
      <c r="AO76" s="265">
        <v>0</v>
      </c>
      <c r="AP76" s="265">
        <v>0</v>
      </c>
      <c r="AQ76" s="5">
        <f>AP76+AO76</f>
        <v>0</v>
      </c>
      <c r="AR76" s="6">
        <v>441</v>
      </c>
      <c r="AS76" s="6">
        <v>7</v>
      </c>
      <c r="AT76" s="5">
        <f>AS76+AR76</f>
        <v>448</v>
      </c>
      <c r="AU76" s="259">
        <f>AI76+AL76+AO76+AR76</f>
        <v>441</v>
      </c>
      <c r="AV76" s="259">
        <f>AJ76+AM76+AP76+AS76</f>
        <v>7</v>
      </c>
      <c r="AW76" s="260">
        <f>AU76+AV76</f>
        <v>448</v>
      </c>
      <c r="AX76" s="277"/>
      <c r="AY76" s="277"/>
      <c r="AZ76" s="259">
        <f>AU76*(1+AX77)</f>
        <v>441</v>
      </c>
      <c r="BA76" s="259">
        <f>AV76*(1+AY77+0.15)</f>
        <v>8.0499999999999989</v>
      </c>
      <c r="BB76" s="260">
        <f>AZ76+BA76</f>
        <v>449.05</v>
      </c>
      <c r="BC76" s="259">
        <f>AZ76*(1+$AX77)</f>
        <v>441</v>
      </c>
      <c r="BD76" s="259">
        <f>BA76*(1+$AY77)</f>
        <v>8.0499999999999989</v>
      </c>
      <c r="BE76" s="260">
        <f>BC76+BD76</f>
        <v>449.05</v>
      </c>
      <c r="BF76" s="259">
        <f>BC76*(1+$AX77)</f>
        <v>441</v>
      </c>
      <c r="BG76" s="259">
        <f>BD76*(1+$AY77)</f>
        <v>8.0499999999999989</v>
      </c>
      <c r="BH76" s="260">
        <f>BF76+BG76</f>
        <v>449.05</v>
      </c>
      <c r="BI76" s="259">
        <f>BF76*(1+$AX77-0.1)</f>
        <v>396.90000000000003</v>
      </c>
      <c r="BJ76" s="259">
        <f>BG76*(1+$AY77)</f>
        <v>8.0499999999999989</v>
      </c>
      <c r="BK76" s="260">
        <f>BI76+BJ76</f>
        <v>404.95000000000005</v>
      </c>
      <c r="BL76" s="259">
        <f>BI76*(1+$AX77)</f>
        <v>396.90000000000003</v>
      </c>
      <c r="BM76" s="259">
        <f>BJ76*(1+$AY77)</f>
        <v>8.0499999999999989</v>
      </c>
      <c r="BN76" s="260">
        <f>BL76+BM76</f>
        <v>404.95000000000005</v>
      </c>
    </row>
    <row r="77" spans="1:66" x14ac:dyDescent="0.35">
      <c r="A77" s="241" t="s">
        <v>28</v>
      </c>
      <c r="E77" s="53"/>
      <c r="F77" s="53"/>
      <c r="G77" s="242"/>
      <c r="H77" s="53">
        <f t="shared" ref="H77" si="1616">IFERROR(H76/E76-1,0)</f>
        <v>0</v>
      </c>
      <c r="I77" s="53">
        <f t="shared" ref="I77" si="1617">IFERROR(I76/F76-1,0)</f>
        <v>0</v>
      </c>
      <c r="J77" s="242">
        <f t="shared" ref="J77" si="1618">IFERROR(J76/G76-1,0)</f>
        <v>0</v>
      </c>
      <c r="K77" s="53">
        <f>IFERROR(K76/H76-1,0)</f>
        <v>0</v>
      </c>
      <c r="L77" s="53">
        <f t="shared" ref="L77" si="1619">IFERROR(L76/I76-1,0)</f>
        <v>0</v>
      </c>
      <c r="M77" s="242">
        <f t="shared" ref="M77" si="1620">IFERROR(M76/J76-1,0)</f>
        <v>0</v>
      </c>
      <c r="N77" s="53">
        <f t="shared" ref="N77" si="1621">IFERROR(N76/K76-1,0)</f>
        <v>0</v>
      </c>
      <c r="O77" s="53">
        <f t="shared" ref="O77" si="1622">IFERROR(O76/L76-1,0)</f>
        <v>0</v>
      </c>
      <c r="P77" s="242">
        <f t="shared" ref="P77" si="1623">IFERROR(P76/M76-1,0)</f>
        <v>0</v>
      </c>
      <c r="Q77" s="53">
        <f t="shared" ref="Q77" si="1624">IFERROR(Q76/N76-1,0)</f>
        <v>0</v>
      </c>
      <c r="R77" s="53">
        <f t="shared" ref="R77" si="1625">IFERROR(R76/O76-1,0)</f>
        <v>0</v>
      </c>
      <c r="S77" s="242">
        <f t="shared" ref="S77" si="1626">IFERROR(S76/P76-1,0)</f>
        <v>0</v>
      </c>
      <c r="T77" s="53">
        <f t="shared" ref="T77" si="1627">IFERROR(T76/Q76-1,0)</f>
        <v>0</v>
      </c>
      <c r="U77" s="53">
        <f t="shared" ref="U77" si="1628">IFERROR(U76/R76-1,0)</f>
        <v>0</v>
      </c>
      <c r="V77" s="242">
        <f t="shared" ref="V77" si="1629">IFERROR(V76/S76-1,0)</f>
        <v>0</v>
      </c>
      <c r="W77" s="53">
        <f t="shared" ref="W77" si="1630">IFERROR(W76/T76-1,0)</f>
        <v>0</v>
      </c>
      <c r="X77" s="53">
        <f t="shared" ref="X77" si="1631">IFERROR(X76/U76-1,0)</f>
        <v>0</v>
      </c>
      <c r="Y77" s="242">
        <f t="shared" ref="Y77" si="1632">IFERROR(Y76/V76-1,0)</f>
        <v>0</v>
      </c>
      <c r="Z77" s="53">
        <f t="shared" ref="Z77" si="1633">IFERROR(Z76/W76-1,0)</f>
        <v>0</v>
      </c>
      <c r="AA77" s="53">
        <f t="shared" ref="AA77" si="1634">IFERROR(AA76/X76-1,0)</f>
        <v>0</v>
      </c>
      <c r="AB77" s="242">
        <f t="shared" ref="AB77" si="1635">IFERROR(AB76/Y76-1,0)</f>
        <v>0</v>
      </c>
      <c r="AC77" s="53">
        <f t="shared" ref="AC77" si="1636">IFERROR(AC76/Z76-1,0)</f>
        <v>0</v>
      </c>
      <c r="AD77" s="53">
        <f t="shared" ref="AD77" si="1637">IFERROR(AD76/AA76-1,0)</f>
        <v>0</v>
      </c>
      <c r="AE77" s="242">
        <f t="shared" ref="AE77" si="1638">IFERROR(AE76/AB76-1,0)</f>
        <v>0</v>
      </c>
      <c r="AF77" s="53">
        <f t="shared" ref="AF77" si="1639">IFERROR(AF76/AC76-1,0)</f>
        <v>0</v>
      </c>
      <c r="AG77" s="53">
        <f t="shared" ref="AG77" si="1640">IFERROR(AG76/AD76-1,0)</f>
        <v>0</v>
      </c>
      <c r="AH77" s="242">
        <f t="shared" ref="AH77" si="1641">IFERROR(AH76/AE76-1,0)</f>
        <v>0</v>
      </c>
      <c r="AI77" s="53">
        <f>IFERROR(AI76/AF76-1,0)</f>
        <v>0</v>
      </c>
      <c r="AJ77" s="53">
        <f t="shared" ref="AJ77:AK77" si="1642">IFERROR(AJ76/AG76-1,0)</f>
        <v>0</v>
      </c>
      <c r="AK77" s="242">
        <f t="shared" si="1642"/>
        <v>0</v>
      </c>
      <c r="AL77" s="53">
        <f t="shared" ref="AL77" si="1643">IFERROR(AL76/AI76-1,0)</f>
        <v>0</v>
      </c>
      <c r="AM77" s="53">
        <f t="shared" ref="AM77:AN77" si="1644">IFERROR(AM76/AJ76-1,0)</f>
        <v>0</v>
      </c>
      <c r="AN77" s="242">
        <f t="shared" si="1644"/>
        <v>0</v>
      </c>
      <c r="AO77" s="53">
        <f t="shared" ref="AO77" si="1645">IFERROR(AO76/AL76-1,0)</f>
        <v>0</v>
      </c>
      <c r="AP77" s="53">
        <f t="shared" ref="AP77:AQ77" si="1646">IFERROR(AP76/AM76-1,0)</f>
        <v>0</v>
      </c>
      <c r="AQ77" s="242">
        <f t="shared" si="1646"/>
        <v>0</v>
      </c>
      <c r="AR77" s="53">
        <f t="shared" ref="AR77" si="1647">IFERROR(AR76/AO76-1,0)</f>
        <v>0</v>
      </c>
      <c r="AS77" s="53">
        <f t="shared" ref="AS77" si="1648">IFERROR(AS76/AP76-1,0)</f>
        <v>0</v>
      </c>
      <c r="AT77" s="242">
        <f t="shared" ref="AT77" si="1649">IFERROR(AT76/AQ76-1,0)</f>
        <v>0</v>
      </c>
      <c r="AU77" s="283">
        <f t="shared" ref="AU77" si="1650">IFERROR(AU76/AR76-1,0)</f>
        <v>0</v>
      </c>
      <c r="AV77" s="283">
        <f t="shared" ref="AV77" si="1651">IFERROR(AV76/AS76-1,0)</f>
        <v>0</v>
      </c>
      <c r="AW77" s="242">
        <f t="shared" ref="AW77" si="1652">IFERROR(AW76/AT76-1,0)</f>
        <v>0</v>
      </c>
      <c r="AX77" s="210">
        <f>AVERAGE(W77,Z77,AC77,AF77,AU77)</f>
        <v>0</v>
      </c>
      <c r="AY77" s="210">
        <f>AVERAGE(X77,AA77,AD77,AG77,AV77)</f>
        <v>0</v>
      </c>
      <c r="AZ77" s="236"/>
      <c r="BA77" s="236"/>
      <c r="BB77" s="240"/>
      <c r="BC77" s="236"/>
      <c r="BD77" s="236"/>
      <c r="BE77" s="240"/>
      <c r="BF77" s="236"/>
      <c r="BG77" s="236"/>
      <c r="BH77" s="240"/>
      <c r="BI77" s="236"/>
      <c r="BJ77" s="236"/>
      <c r="BK77" s="240"/>
      <c r="BL77" s="236"/>
      <c r="BM77" s="236"/>
      <c r="BN77" s="240"/>
    </row>
    <row r="78" spans="1:66" x14ac:dyDescent="0.35">
      <c r="A78" s="244" t="s">
        <v>29</v>
      </c>
      <c r="E78" s="236"/>
      <c r="F78" s="236"/>
      <c r="G78" s="240"/>
      <c r="H78" s="247">
        <f>H77</f>
        <v>0</v>
      </c>
      <c r="I78" s="247">
        <f t="shared" ref="I78" si="1653">I77</f>
        <v>0</v>
      </c>
      <c r="J78" s="248">
        <f t="shared" ref="J78" si="1654">J77</f>
        <v>0</v>
      </c>
      <c r="K78" s="247">
        <f t="shared" ref="K78" si="1655">K77</f>
        <v>0</v>
      </c>
      <c r="L78" s="247">
        <f t="shared" ref="L78" si="1656">L77</f>
        <v>0</v>
      </c>
      <c r="M78" s="248">
        <f t="shared" ref="M78" si="1657">M77</f>
        <v>0</v>
      </c>
      <c r="N78" s="247">
        <f t="shared" ref="N78" si="1658">N77</f>
        <v>0</v>
      </c>
      <c r="O78" s="247">
        <f t="shared" ref="O78" si="1659">O77</f>
        <v>0</v>
      </c>
      <c r="P78" s="248">
        <f t="shared" ref="P78" si="1660">P77</f>
        <v>0</v>
      </c>
      <c r="Q78" s="247">
        <f t="shared" ref="Q78" si="1661">Q77</f>
        <v>0</v>
      </c>
      <c r="R78" s="247">
        <f t="shared" ref="R78" si="1662">R77</f>
        <v>0</v>
      </c>
      <c r="S78" s="248">
        <f t="shared" ref="S78" si="1663">S77</f>
        <v>0</v>
      </c>
      <c r="T78" s="247">
        <f t="shared" ref="T78" si="1664">T77</f>
        <v>0</v>
      </c>
      <c r="U78" s="247">
        <f t="shared" ref="U78" si="1665">U77</f>
        <v>0</v>
      </c>
      <c r="V78" s="248">
        <f t="shared" ref="V78" si="1666">V77</f>
        <v>0</v>
      </c>
      <c r="W78" s="247">
        <f t="shared" ref="W78" si="1667">W77</f>
        <v>0</v>
      </c>
      <c r="X78" s="247">
        <f t="shared" ref="X78" si="1668">X77</f>
        <v>0</v>
      </c>
      <c r="Y78" s="248">
        <f t="shared" ref="Y78" si="1669">Y77</f>
        <v>0</v>
      </c>
      <c r="Z78" s="247">
        <f t="shared" ref="Z78" si="1670">Z77</f>
        <v>0</v>
      </c>
      <c r="AA78" s="247">
        <f t="shared" ref="AA78" si="1671">AA77</f>
        <v>0</v>
      </c>
      <c r="AB78" s="248">
        <f t="shared" ref="AB78" si="1672">AB77</f>
        <v>0</v>
      </c>
      <c r="AC78" s="247">
        <f t="shared" ref="AC78" si="1673">AC77</f>
        <v>0</v>
      </c>
      <c r="AD78" s="247">
        <f t="shared" ref="AD78" si="1674">AD77</f>
        <v>0</v>
      </c>
      <c r="AE78" s="248">
        <f t="shared" ref="AE78" si="1675">AE77</f>
        <v>0</v>
      </c>
      <c r="AF78" s="247">
        <f t="shared" ref="AF78" si="1676">AF77</f>
        <v>0</v>
      </c>
      <c r="AG78" s="247">
        <f t="shared" ref="AG78" si="1677">AG77</f>
        <v>0</v>
      </c>
      <c r="AH78" s="248">
        <f t="shared" ref="AH78" si="1678">AH77</f>
        <v>0</v>
      </c>
      <c r="AI78" s="249">
        <f>AI77</f>
        <v>0</v>
      </c>
      <c r="AJ78" s="249">
        <f t="shared" ref="AJ78" si="1679">AJ77</f>
        <v>0</v>
      </c>
      <c r="AK78" s="249">
        <f t="shared" ref="AK78" si="1680">AK77</f>
        <v>0</v>
      </c>
      <c r="AL78" s="249">
        <f t="shared" ref="AL78" si="1681">AL77</f>
        <v>0</v>
      </c>
      <c r="AM78" s="249">
        <f t="shared" ref="AM78" si="1682">AM77</f>
        <v>0</v>
      </c>
      <c r="AN78" s="249">
        <f t="shared" ref="AN78" si="1683">AN77</f>
        <v>0</v>
      </c>
      <c r="AO78" s="249">
        <f t="shared" ref="AO78" si="1684">AO77</f>
        <v>0</v>
      </c>
      <c r="AP78" s="249">
        <f t="shared" ref="AP78" si="1685">AP77</f>
        <v>0</v>
      </c>
      <c r="AQ78" s="249">
        <f t="shared" ref="AQ78" si="1686">AQ77</f>
        <v>0</v>
      </c>
      <c r="AR78" s="249">
        <f t="shared" ref="AR78" si="1687">AR77</f>
        <v>0</v>
      </c>
      <c r="AS78" s="249">
        <f t="shared" ref="AS78" si="1688">AS77</f>
        <v>0</v>
      </c>
      <c r="AT78" s="249">
        <f t="shared" ref="AT78" si="1689">AT77</f>
        <v>0</v>
      </c>
      <c r="AU78" s="250">
        <f t="shared" ref="AU78" si="1690">AU77</f>
        <v>0</v>
      </c>
      <c r="AV78" s="250">
        <f t="shared" ref="AV78" si="1691">AV77</f>
        <v>0</v>
      </c>
      <c r="AW78" s="248">
        <f t="shared" ref="AW78" si="1692">AW77</f>
        <v>0</v>
      </c>
      <c r="AX78" s="278"/>
      <c r="AY78" s="278"/>
      <c r="AZ78" s="236"/>
      <c r="BA78" s="236"/>
      <c r="BB78" s="240"/>
      <c r="BC78" s="236"/>
      <c r="BD78" s="236"/>
      <c r="BE78" s="240"/>
      <c r="BF78" s="236"/>
      <c r="BG78" s="236"/>
      <c r="BH78" s="240"/>
      <c r="BI78" s="236"/>
      <c r="BJ78" s="236"/>
      <c r="BK78" s="240"/>
      <c r="BL78" s="236"/>
      <c r="BM78" s="236"/>
      <c r="BN78" s="240"/>
    </row>
    <row r="79" spans="1:66" x14ac:dyDescent="0.35">
      <c r="A79" s="264" t="s">
        <v>51</v>
      </c>
      <c r="B79" s="2"/>
      <c r="C79" s="2"/>
      <c r="D79" s="2"/>
      <c r="E79" s="259">
        <v>0</v>
      </c>
      <c r="F79" s="259">
        <v>0</v>
      </c>
      <c r="G79" s="260">
        <v>0</v>
      </c>
      <c r="H79" s="265">
        <v>0</v>
      </c>
      <c r="I79" s="265">
        <v>0</v>
      </c>
      <c r="J79" s="266">
        <v>0</v>
      </c>
      <c r="K79" s="265">
        <v>0</v>
      </c>
      <c r="L79" s="265">
        <v>0</v>
      </c>
      <c r="M79" s="266">
        <v>0</v>
      </c>
      <c r="N79" s="265">
        <v>0</v>
      </c>
      <c r="O79" s="265">
        <v>0</v>
      </c>
      <c r="P79" s="266">
        <v>0</v>
      </c>
      <c r="Q79" s="265">
        <v>0</v>
      </c>
      <c r="R79" s="265">
        <v>0</v>
      </c>
      <c r="S79" s="266">
        <v>0</v>
      </c>
      <c r="T79" s="265">
        <v>0</v>
      </c>
      <c r="U79" s="265">
        <v>0</v>
      </c>
      <c r="V79" s="266">
        <v>0</v>
      </c>
      <c r="W79" s="265">
        <v>0</v>
      </c>
      <c r="X79" s="265">
        <v>0</v>
      </c>
      <c r="Y79" s="266">
        <v>0</v>
      </c>
      <c r="Z79" s="265">
        <v>0</v>
      </c>
      <c r="AA79" s="265">
        <v>0</v>
      </c>
      <c r="AB79" s="266">
        <v>0</v>
      </c>
      <c r="AC79" s="265">
        <v>0</v>
      </c>
      <c r="AD79" s="265">
        <v>0</v>
      </c>
      <c r="AE79" s="266">
        <v>0</v>
      </c>
      <c r="AF79" s="265">
        <v>0</v>
      </c>
      <c r="AG79" s="265">
        <v>0</v>
      </c>
      <c r="AH79" s="266">
        <v>0</v>
      </c>
      <c r="AI79" s="265">
        <v>0</v>
      </c>
      <c r="AJ79" s="265">
        <v>0</v>
      </c>
      <c r="AK79" s="5">
        <f>AJ79+AI79</f>
        <v>0</v>
      </c>
      <c r="AL79" s="265">
        <v>0</v>
      </c>
      <c r="AM79" s="265">
        <v>0</v>
      </c>
      <c r="AN79" s="5">
        <f>AM79+AL79</f>
        <v>0</v>
      </c>
      <c r="AO79" s="265">
        <v>0</v>
      </c>
      <c r="AP79" s="265">
        <v>0</v>
      </c>
      <c r="AQ79" s="5">
        <f>AP79+AO79</f>
        <v>0</v>
      </c>
      <c r="AR79" s="6">
        <v>272</v>
      </c>
      <c r="AS79" s="6">
        <v>0</v>
      </c>
      <c r="AT79" s="5">
        <f>AS79+AR79</f>
        <v>272</v>
      </c>
      <c r="AU79" s="259">
        <f>AI79+AL79+AO79+AR79</f>
        <v>272</v>
      </c>
      <c r="AV79" s="259">
        <f>AJ79+AM79+AP79+AS79</f>
        <v>0</v>
      </c>
      <c r="AW79" s="260">
        <f>AU79+AV79</f>
        <v>272</v>
      </c>
      <c r="AX79" s="277"/>
      <c r="AY79" s="277"/>
      <c r="AZ79" s="259">
        <f>AU79*(1+AX80+0.15)</f>
        <v>312.79999999999995</v>
      </c>
      <c r="BA79" s="259">
        <f>AV79*(1+AY80)</f>
        <v>0</v>
      </c>
      <c r="BB79" s="260">
        <f>AZ79+BA79</f>
        <v>312.79999999999995</v>
      </c>
      <c r="BC79" s="259">
        <f>AZ79*(1+$AX80)</f>
        <v>312.79999999999995</v>
      </c>
      <c r="BD79" s="259">
        <f>BA79*(1+$AY80)</f>
        <v>0</v>
      </c>
      <c r="BE79" s="260">
        <f>BC79+BD79</f>
        <v>312.79999999999995</v>
      </c>
      <c r="BF79" s="259">
        <f>BC79*(1+$AX80)</f>
        <v>312.79999999999995</v>
      </c>
      <c r="BG79" s="259">
        <f>BD79*(1+$AY80)</f>
        <v>0</v>
      </c>
      <c r="BH79" s="260">
        <f>BF79+BG79</f>
        <v>312.79999999999995</v>
      </c>
      <c r="BI79" s="259">
        <f>BF79*(1+$AX80)</f>
        <v>312.79999999999995</v>
      </c>
      <c r="BJ79" s="259">
        <f>BG79*(1+$AY80)</f>
        <v>0</v>
      </c>
      <c r="BK79" s="260">
        <f>BI79+BJ79</f>
        <v>312.79999999999995</v>
      </c>
      <c r="BL79" s="259">
        <f>BI79*(1+$AX80)</f>
        <v>312.79999999999995</v>
      </c>
      <c r="BM79" s="259">
        <f>BJ79*(1+$AY80)</f>
        <v>0</v>
      </c>
      <c r="BN79" s="260">
        <f>BL79+BM79</f>
        <v>312.79999999999995</v>
      </c>
    </row>
    <row r="80" spans="1:66" x14ac:dyDescent="0.35">
      <c r="A80" s="241" t="s">
        <v>28</v>
      </c>
      <c r="E80" s="53"/>
      <c r="F80" s="53"/>
      <c r="G80" s="242"/>
      <c r="H80" s="53">
        <f t="shared" ref="H80" si="1693">IFERROR(H79/E79-1,0)</f>
        <v>0</v>
      </c>
      <c r="I80" s="53">
        <f t="shared" ref="I80" si="1694">IFERROR(I79/F79-1,0)</f>
        <v>0</v>
      </c>
      <c r="J80" s="242">
        <f t="shared" ref="J80" si="1695">IFERROR(J79/G79-1,0)</f>
        <v>0</v>
      </c>
      <c r="K80" s="53">
        <f>IFERROR(K79/H79-1,0)</f>
        <v>0</v>
      </c>
      <c r="L80" s="53">
        <f t="shared" ref="L80" si="1696">IFERROR(L79/I79-1,0)</f>
        <v>0</v>
      </c>
      <c r="M80" s="242">
        <f t="shared" ref="M80" si="1697">IFERROR(M79/J79-1,0)</f>
        <v>0</v>
      </c>
      <c r="N80" s="53">
        <f t="shared" ref="N80" si="1698">IFERROR(N79/K79-1,0)</f>
        <v>0</v>
      </c>
      <c r="O80" s="53">
        <f t="shared" ref="O80" si="1699">IFERROR(O79/L79-1,0)</f>
        <v>0</v>
      </c>
      <c r="P80" s="242">
        <f t="shared" ref="P80" si="1700">IFERROR(P79/M79-1,0)</f>
        <v>0</v>
      </c>
      <c r="Q80" s="53">
        <f t="shared" ref="Q80" si="1701">IFERROR(Q79/N79-1,0)</f>
        <v>0</v>
      </c>
      <c r="R80" s="53">
        <f t="shared" ref="R80" si="1702">IFERROR(R79/O79-1,0)</f>
        <v>0</v>
      </c>
      <c r="S80" s="242">
        <f t="shared" ref="S80" si="1703">IFERROR(S79/P79-1,0)</f>
        <v>0</v>
      </c>
      <c r="T80" s="53">
        <f t="shared" ref="T80" si="1704">IFERROR(T79/Q79-1,0)</f>
        <v>0</v>
      </c>
      <c r="U80" s="53">
        <f t="shared" ref="U80" si="1705">IFERROR(U79/R79-1,0)</f>
        <v>0</v>
      </c>
      <c r="V80" s="242">
        <f t="shared" ref="V80" si="1706">IFERROR(V79/S79-1,0)</f>
        <v>0</v>
      </c>
      <c r="W80" s="53">
        <f t="shared" ref="W80" si="1707">IFERROR(W79/T79-1,0)</f>
        <v>0</v>
      </c>
      <c r="X80" s="53">
        <f t="shared" ref="X80" si="1708">IFERROR(X79/U79-1,0)</f>
        <v>0</v>
      </c>
      <c r="Y80" s="242">
        <f t="shared" ref="Y80" si="1709">IFERROR(Y79/V79-1,0)</f>
        <v>0</v>
      </c>
      <c r="Z80" s="53">
        <f t="shared" ref="Z80" si="1710">IFERROR(Z79/W79-1,0)</f>
        <v>0</v>
      </c>
      <c r="AA80" s="53">
        <f t="shared" ref="AA80" si="1711">IFERROR(AA79/X79-1,0)</f>
        <v>0</v>
      </c>
      <c r="AB80" s="242">
        <f t="shared" ref="AB80" si="1712">IFERROR(AB79/Y79-1,0)</f>
        <v>0</v>
      </c>
      <c r="AC80" s="53">
        <f t="shared" ref="AC80" si="1713">IFERROR(AC79/Z79-1,0)</f>
        <v>0</v>
      </c>
      <c r="AD80" s="53">
        <f t="shared" ref="AD80" si="1714">IFERROR(AD79/AA79-1,0)</f>
        <v>0</v>
      </c>
      <c r="AE80" s="242">
        <f t="shared" ref="AE80" si="1715">IFERROR(AE79/AB79-1,0)</f>
        <v>0</v>
      </c>
      <c r="AF80" s="53">
        <f t="shared" ref="AF80" si="1716">IFERROR(AF79/AC79-1,0)</f>
        <v>0</v>
      </c>
      <c r="AG80" s="53">
        <f t="shared" ref="AG80" si="1717">IFERROR(AG79/AD79-1,0)</f>
        <v>0</v>
      </c>
      <c r="AH80" s="242">
        <f t="shared" ref="AH80" si="1718">IFERROR(AH79/AE79-1,0)</f>
        <v>0</v>
      </c>
      <c r="AI80" s="53">
        <f>IFERROR(AI79/AF79-1,0)</f>
        <v>0</v>
      </c>
      <c r="AJ80" s="53">
        <f t="shared" ref="AJ80:AK80" si="1719">IFERROR(AJ79/AG79-1,0)</f>
        <v>0</v>
      </c>
      <c r="AK80" s="242">
        <f t="shared" si="1719"/>
        <v>0</v>
      </c>
      <c r="AL80" s="53">
        <f t="shared" ref="AL80" si="1720">IFERROR(AL79/AI79-1,0)</f>
        <v>0</v>
      </c>
      <c r="AM80" s="53">
        <f t="shared" ref="AM80:AN80" si="1721">IFERROR(AM79/AJ79-1,0)</f>
        <v>0</v>
      </c>
      <c r="AN80" s="242">
        <f t="shared" si="1721"/>
        <v>0</v>
      </c>
      <c r="AO80" s="53">
        <f t="shared" ref="AO80" si="1722">IFERROR(AO79/AL79-1,0)</f>
        <v>0</v>
      </c>
      <c r="AP80" s="53">
        <f t="shared" ref="AP80:AQ80" si="1723">IFERROR(AP79/AM79-1,0)</f>
        <v>0</v>
      </c>
      <c r="AQ80" s="242">
        <f t="shared" si="1723"/>
        <v>0</v>
      </c>
      <c r="AR80" s="53">
        <f t="shared" ref="AR80" si="1724">IFERROR(AR79/AO79-1,0)</f>
        <v>0</v>
      </c>
      <c r="AS80" s="53">
        <f t="shared" ref="AS80" si="1725">IFERROR(AS79/AP79-1,0)</f>
        <v>0</v>
      </c>
      <c r="AT80" s="242">
        <f t="shared" ref="AT80" si="1726">IFERROR(AT79/AQ79-1,0)</f>
        <v>0</v>
      </c>
      <c r="AU80" s="283">
        <f t="shared" ref="AU80" si="1727">IFERROR(AU79/AR79-1,0)</f>
        <v>0</v>
      </c>
      <c r="AV80" s="283">
        <f t="shared" ref="AV80" si="1728">IFERROR(AV79/AS79-1,0)</f>
        <v>0</v>
      </c>
      <c r="AW80" s="242">
        <f t="shared" ref="AW80" si="1729">IFERROR(AW79/AT79-1,0)</f>
        <v>0</v>
      </c>
      <c r="AX80" s="210">
        <f>AVERAGE(W80,Z80,AC80,AF80,AU80)</f>
        <v>0</v>
      </c>
      <c r="AY80" s="210">
        <f>AVERAGE(X80,AA80,AD80,AG80,AV80)</f>
        <v>0</v>
      </c>
      <c r="AZ80" s="236"/>
      <c r="BA80" s="236"/>
      <c r="BB80" s="240"/>
      <c r="BC80" s="236"/>
      <c r="BD80" s="236"/>
      <c r="BE80" s="240"/>
      <c r="BF80" s="236"/>
      <c r="BG80" s="236"/>
      <c r="BH80" s="240"/>
      <c r="BI80" s="236"/>
      <c r="BJ80" s="236"/>
      <c r="BK80" s="240"/>
      <c r="BL80" s="236"/>
      <c r="BM80" s="236"/>
      <c r="BN80" s="240"/>
    </row>
    <row r="81" spans="1:66" x14ac:dyDescent="0.35">
      <c r="A81" s="244" t="s">
        <v>29</v>
      </c>
      <c r="E81" s="236"/>
      <c r="F81" s="236"/>
      <c r="G81" s="240"/>
      <c r="H81" s="247">
        <f>H80</f>
        <v>0</v>
      </c>
      <c r="I81" s="247">
        <f t="shared" ref="I81" si="1730">I80</f>
        <v>0</v>
      </c>
      <c r="J81" s="248">
        <f t="shared" ref="J81" si="1731">J80</f>
        <v>0</v>
      </c>
      <c r="K81" s="247">
        <f t="shared" ref="K81" si="1732">K80</f>
        <v>0</v>
      </c>
      <c r="L81" s="247">
        <f t="shared" ref="L81" si="1733">L80</f>
        <v>0</v>
      </c>
      <c r="M81" s="248">
        <f t="shared" ref="M81" si="1734">M80</f>
        <v>0</v>
      </c>
      <c r="N81" s="247">
        <f t="shared" ref="N81" si="1735">N80</f>
        <v>0</v>
      </c>
      <c r="O81" s="247">
        <f t="shared" ref="O81" si="1736">O80</f>
        <v>0</v>
      </c>
      <c r="P81" s="248">
        <f t="shared" ref="P81" si="1737">P80</f>
        <v>0</v>
      </c>
      <c r="Q81" s="247">
        <f t="shared" ref="Q81" si="1738">Q80</f>
        <v>0</v>
      </c>
      <c r="R81" s="247">
        <f t="shared" ref="R81" si="1739">R80</f>
        <v>0</v>
      </c>
      <c r="S81" s="248">
        <f t="shared" ref="S81" si="1740">S80</f>
        <v>0</v>
      </c>
      <c r="T81" s="247">
        <f t="shared" ref="T81" si="1741">T80</f>
        <v>0</v>
      </c>
      <c r="U81" s="247">
        <f t="shared" ref="U81" si="1742">U80</f>
        <v>0</v>
      </c>
      <c r="V81" s="248">
        <f t="shared" ref="V81" si="1743">V80</f>
        <v>0</v>
      </c>
      <c r="W81" s="247">
        <f t="shared" ref="W81" si="1744">W80</f>
        <v>0</v>
      </c>
      <c r="X81" s="247">
        <f t="shared" ref="X81" si="1745">X80</f>
        <v>0</v>
      </c>
      <c r="Y81" s="248">
        <f t="shared" ref="Y81" si="1746">Y80</f>
        <v>0</v>
      </c>
      <c r="Z81" s="247">
        <f t="shared" ref="Z81" si="1747">Z80</f>
        <v>0</v>
      </c>
      <c r="AA81" s="247">
        <f t="shared" ref="AA81" si="1748">AA80</f>
        <v>0</v>
      </c>
      <c r="AB81" s="248">
        <f t="shared" ref="AB81" si="1749">AB80</f>
        <v>0</v>
      </c>
      <c r="AC81" s="247">
        <f t="shared" ref="AC81" si="1750">AC80</f>
        <v>0</v>
      </c>
      <c r="AD81" s="247">
        <f t="shared" ref="AD81" si="1751">AD80</f>
        <v>0</v>
      </c>
      <c r="AE81" s="248">
        <f t="shared" ref="AE81" si="1752">AE80</f>
        <v>0</v>
      </c>
      <c r="AF81" s="247">
        <f t="shared" ref="AF81" si="1753">AF80</f>
        <v>0</v>
      </c>
      <c r="AG81" s="247">
        <f t="shared" ref="AG81" si="1754">AG80</f>
        <v>0</v>
      </c>
      <c r="AH81" s="248">
        <f t="shared" ref="AH81" si="1755">AH80</f>
        <v>0</v>
      </c>
      <c r="AI81" s="249">
        <f>AI80</f>
        <v>0</v>
      </c>
      <c r="AJ81" s="249">
        <f t="shared" ref="AJ81" si="1756">AJ80</f>
        <v>0</v>
      </c>
      <c r="AK81" s="249">
        <f t="shared" ref="AK81" si="1757">AK80</f>
        <v>0</v>
      </c>
      <c r="AL81" s="249">
        <f t="shared" ref="AL81" si="1758">AL80</f>
        <v>0</v>
      </c>
      <c r="AM81" s="249">
        <f t="shared" ref="AM81" si="1759">AM80</f>
        <v>0</v>
      </c>
      <c r="AN81" s="249">
        <f t="shared" ref="AN81" si="1760">AN80</f>
        <v>0</v>
      </c>
      <c r="AO81" s="249">
        <f t="shared" ref="AO81" si="1761">AO80</f>
        <v>0</v>
      </c>
      <c r="AP81" s="249">
        <f t="shared" ref="AP81" si="1762">AP80</f>
        <v>0</v>
      </c>
      <c r="AQ81" s="249">
        <f t="shared" ref="AQ81" si="1763">AQ80</f>
        <v>0</v>
      </c>
      <c r="AR81" s="249">
        <f t="shared" ref="AR81" si="1764">AR80</f>
        <v>0</v>
      </c>
      <c r="AS81" s="249">
        <f t="shared" ref="AS81" si="1765">AS80</f>
        <v>0</v>
      </c>
      <c r="AT81" s="249">
        <f t="shared" ref="AT81" si="1766">AT80</f>
        <v>0</v>
      </c>
      <c r="AU81" s="250">
        <f t="shared" ref="AU81" si="1767">AU80</f>
        <v>0</v>
      </c>
      <c r="AV81" s="250">
        <f t="shared" ref="AV81" si="1768">AV80</f>
        <v>0</v>
      </c>
      <c r="AW81" s="248">
        <f t="shared" ref="AW81" si="1769">AW80</f>
        <v>0</v>
      </c>
      <c r="AX81" s="278"/>
      <c r="AY81" s="278"/>
      <c r="AZ81" s="236"/>
      <c r="BA81" s="236"/>
      <c r="BB81" s="240"/>
      <c r="BC81" s="236"/>
      <c r="BD81" s="236"/>
      <c r="BE81" s="240"/>
      <c r="BF81" s="236"/>
      <c r="BG81" s="236"/>
      <c r="BH81" s="240"/>
      <c r="BI81" s="236"/>
      <c r="BJ81" s="236"/>
      <c r="BK81" s="240"/>
      <c r="BL81" s="236"/>
      <c r="BM81" s="236"/>
      <c r="BN81" s="240"/>
    </row>
    <row r="82" spans="1:66" x14ac:dyDescent="0.35">
      <c r="A82" s="264" t="s">
        <v>52</v>
      </c>
      <c r="B82" s="2"/>
      <c r="C82" s="2"/>
      <c r="D82" s="2"/>
      <c r="E82" s="259">
        <v>0</v>
      </c>
      <c r="F82" s="259">
        <v>0</v>
      </c>
      <c r="G82" s="260">
        <v>0</v>
      </c>
      <c r="H82" s="265">
        <v>0</v>
      </c>
      <c r="I82" s="265">
        <v>0</v>
      </c>
      <c r="J82" s="266">
        <v>0</v>
      </c>
      <c r="K82" s="265">
        <v>0</v>
      </c>
      <c r="L82" s="265">
        <v>0</v>
      </c>
      <c r="M82" s="266">
        <v>0</v>
      </c>
      <c r="N82" s="265">
        <v>0</v>
      </c>
      <c r="O82" s="265">
        <v>0</v>
      </c>
      <c r="P82" s="266">
        <v>0</v>
      </c>
      <c r="Q82" s="265">
        <v>0</v>
      </c>
      <c r="R82" s="265">
        <v>0</v>
      </c>
      <c r="S82" s="266">
        <v>0</v>
      </c>
      <c r="T82" s="265">
        <v>0</v>
      </c>
      <c r="U82" s="265">
        <v>0</v>
      </c>
      <c r="V82" s="266">
        <v>0</v>
      </c>
      <c r="W82" s="265">
        <v>0</v>
      </c>
      <c r="X82" s="265">
        <v>0</v>
      </c>
      <c r="Y82" s="266">
        <v>0</v>
      </c>
      <c r="Z82" s="265">
        <v>0</v>
      </c>
      <c r="AA82" s="265">
        <v>0</v>
      </c>
      <c r="AB82" s="266">
        <v>0</v>
      </c>
      <c r="AC82" s="265">
        <v>0</v>
      </c>
      <c r="AD82" s="265">
        <v>0</v>
      </c>
      <c r="AE82" s="266">
        <v>0</v>
      </c>
      <c r="AF82" s="265">
        <v>0</v>
      </c>
      <c r="AG82" s="265">
        <v>0</v>
      </c>
      <c r="AH82" s="266">
        <v>0</v>
      </c>
      <c r="AI82" s="265">
        <v>0</v>
      </c>
      <c r="AJ82" s="265">
        <v>0</v>
      </c>
      <c r="AK82" s="5">
        <f>AJ82+AI82</f>
        <v>0</v>
      </c>
      <c r="AL82" s="265">
        <v>0</v>
      </c>
      <c r="AM82" s="265">
        <v>0</v>
      </c>
      <c r="AN82" s="5">
        <f>AM82+AL82</f>
        <v>0</v>
      </c>
      <c r="AO82" s="265">
        <v>0</v>
      </c>
      <c r="AP82" s="265">
        <v>0</v>
      </c>
      <c r="AQ82" s="5">
        <f>AP82+AO82</f>
        <v>0</v>
      </c>
      <c r="AR82" s="6">
        <v>60</v>
      </c>
      <c r="AS82" s="6">
        <v>5</v>
      </c>
      <c r="AT82" s="5">
        <f>AS82+AR82</f>
        <v>65</v>
      </c>
      <c r="AU82" s="259">
        <f>AI82+AL82+AO82+AR82</f>
        <v>60</v>
      </c>
      <c r="AV82" s="259">
        <f>AJ82+AM82+AP82+AS82</f>
        <v>5</v>
      </c>
      <c r="AW82" s="260">
        <f>AU82+AV82</f>
        <v>65</v>
      </c>
      <c r="AX82" s="277"/>
      <c r="AY82" s="277"/>
      <c r="AZ82" s="259">
        <f>AU82*(1+AX83)</f>
        <v>60</v>
      </c>
      <c r="BA82" s="259">
        <f>AV82*(1+AY83)</f>
        <v>5</v>
      </c>
      <c r="BB82" s="260">
        <f>AZ82+BA82</f>
        <v>65</v>
      </c>
      <c r="BC82" s="259">
        <f>AZ82*(1+$AX83)</f>
        <v>60</v>
      </c>
      <c r="BD82" s="259">
        <f>BA82*(1+$AY83)</f>
        <v>5</v>
      </c>
      <c r="BE82" s="260">
        <f>BC82+BD82</f>
        <v>65</v>
      </c>
      <c r="BF82" s="259">
        <f>BC82*(1+$AX83)</f>
        <v>60</v>
      </c>
      <c r="BG82" s="259">
        <f>BD82*(1+$AY83)</f>
        <v>5</v>
      </c>
      <c r="BH82" s="260">
        <f>BF82+BG82</f>
        <v>65</v>
      </c>
      <c r="BI82" s="259">
        <f>BF82*(1+$AX83)</f>
        <v>60</v>
      </c>
      <c r="BJ82" s="259">
        <f>BG82*(1+$AY83)</f>
        <v>5</v>
      </c>
      <c r="BK82" s="260">
        <f>BI82+BJ82</f>
        <v>65</v>
      </c>
      <c r="BL82" s="259">
        <f>BI82*(1+$AX83)</f>
        <v>60</v>
      </c>
      <c r="BM82" s="259">
        <f>BJ82*(1+$AY83)</f>
        <v>5</v>
      </c>
      <c r="BN82" s="260">
        <f>BL82+BM82</f>
        <v>65</v>
      </c>
    </row>
    <row r="83" spans="1:66" x14ac:dyDescent="0.35">
      <c r="A83" s="241" t="s">
        <v>28</v>
      </c>
      <c r="E83" s="53"/>
      <c r="F83" s="53"/>
      <c r="G83" s="242"/>
      <c r="H83" s="53">
        <f t="shared" ref="H83" si="1770">IFERROR(H82/E82-1,0)</f>
        <v>0</v>
      </c>
      <c r="I83" s="53">
        <f t="shared" ref="I83" si="1771">IFERROR(I82/F82-1,0)</f>
        <v>0</v>
      </c>
      <c r="J83" s="242">
        <f t="shared" ref="J83" si="1772">IFERROR(J82/G82-1,0)</f>
        <v>0</v>
      </c>
      <c r="K83" s="53">
        <f>IFERROR(K82/H82-1,0)</f>
        <v>0</v>
      </c>
      <c r="L83" s="53">
        <f t="shared" ref="L83" si="1773">IFERROR(L82/I82-1,0)</f>
        <v>0</v>
      </c>
      <c r="M83" s="242">
        <f t="shared" ref="M83" si="1774">IFERROR(M82/J82-1,0)</f>
        <v>0</v>
      </c>
      <c r="N83" s="53">
        <f t="shared" ref="N83" si="1775">IFERROR(N82/K82-1,0)</f>
        <v>0</v>
      </c>
      <c r="O83" s="53">
        <f t="shared" ref="O83" si="1776">IFERROR(O82/L82-1,0)</f>
        <v>0</v>
      </c>
      <c r="P83" s="242">
        <f t="shared" ref="P83" si="1777">IFERROR(P82/M82-1,0)</f>
        <v>0</v>
      </c>
      <c r="Q83" s="53">
        <f t="shared" ref="Q83" si="1778">IFERROR(Q82/N82-1,0)</f>
        <v>0</v>
      </c>
      <c r="R83" s="53">
        <f t="shared" ref="R83" si="1779">IFERROR(R82/O82-1,0)</f>
        <v>0</v>
      </c>
      <c r="S83" s="242">
        <f t="shared" ref="S83" si="1780">IFERROR(S82/P82-1,0)</f>
        <v>0</v>
      </c>
      <c r="T83" s="53">
        <f t="shared" ref="T83" si="1781">IFERROR(T82/Q82-1,0)</f>
        <v>0</v>
      </c>
      <c r="U83" s="53">
        <f t="shared" ref="U83" si="1782">IFERROR(U82/R82-1,0)</f>
        <v>0</v>
      </c>
      <c r="V83" s="242">
        <f t="shared" ref="V83" si="1783">IFERROR(V82/S82-1,0)</f>
        <v>0</v>
      </c>
      <c r="W83" s="53">
        <f t="shared" ref="W83" si="1784">IFERROR(W82/T82-1,0)</f>
        <v>0</v>
      </c>
      <c r="X83" s="53">
        <f t="shared" ref="X83" si="1785">IFERROR(X82/U82-1,0)</f>
        <v>0</v>
      </c>
      <c r="Y83" s="242">
        <f t="shared" ref="Y83" si="1786">IFERROR(Y82/V82-1,0)</f>
        <v>0</v>
      </c>
      <c r="Z83" s="53">
        <f t="shared" ref="Z83" si="1787">IFERROR(Z82/W82-1,0)</f>
        <v>0</v>
      </c>
      <c r="AA83" s="53">
        <f t="shared" ref="AA83" si="1788">IFERROR(AA82/X82-1,0)</f>
        <v>0</v>
      </c>
      <c r="AB83" s="242">
        <f t="shared" ref="AB83" si="1789">IFERROR(AB82/Y82-1,0)</f>
        <v>0</v>
      </c>
      <c r="AC83" s="53">
        <f t="shared" ref="AC83" si="1790">IFERROR(AC82/Z82-1,0)</f>
        <v>0</v>
      </c>
      <c r="AD83" s="53">
        <f t="shared" ref="AD83" si="1791">IFERROR(AD82/AA82-1,0)</f>
        <v>0</v>
      </c>
      <c r="AE83" s="242">
        <f t="shared" ref="AE83" si="1792">IFERROR(AE82/AB82-1,0)</f>
        <v>0</v>
      </c>
      <c r="AF83" s="53">
        <f t="shared" ref="AF83" si="1793">IFERROR(AF82/AC82-1,0)</f>
        <v>0</v>
      </c>
      <c r="AG83" s="53">
        <f t="shared" ref="AG83" si="1794">IFERROR(AG82/AD82-1,0)</f>
        <v>0</v>
      </c>
      <c r="AH83" s="242">
        <f t="shared" ref="AH83" si="1795">IFERROR(AH82/AE82-1,0)</f>
        <v>0</v>
      </c>
      <c r="AI83" s="53">
        <f>IFERROR(AI82/AF82-1,0)</f>
        <v>0</v>
      </c>
      <c r="AJ83" s="53">
        <f t="shared" ref="AJ83:AK83" si="1796">IFERROR(AJ82/AG82-1,0)</f>
        <v>0</v>
      </c>
      <c r="AK83" s="242">
        <f t="shared" si="1796"/>
        <v>0</v>
      </c>
      <c r="AL83" s="53">
        <f t="shared" ref="AL83" si="1797">IFERROR(AL82/AI82-1,0)</f>
        <v>0</v>
      </c>
      <c r="AM83" s="53">
        <f t="shared" ref="AM83:AN83" si="1798">IFERROR(AM82/AJ82-1,0)</f>
        <v>0</v>
      </c>
      <c r="AN83" s="242">
        <f t="shared" si="1798"/>
        <v>0</v>
      </c>
      <c r="AO83" s="53">
        <f t="shared" ref="AO83" si="1799">IFERROR(AO82/AL82-1,0)</f>
        <v>0</v>
      </c>
      <c r="AP83" s="53">
        <f t="shared" ref="AP83:AQ83" si="1800">IFERROR(AP82/AM82-1,0)</f>
        <v>0</v>
      </c>
      <c r="AQ83" s="242">
        <f t="shared" si="1800"/>
        <v>0</v>
      </c>
      <c r="AR83" s="53">
        <f t="shared" ref="AR83" si="1801">IFERROR(AR82/AO82-1,0)</f>
        <v>0</v>
      </c>
      <c r="AS83" s="53">
        <f t="shared" ref="AS83" si="1802">IFERROR(AS82/AP82-1,0)</f>
        <v>0</v>
      </c>
      <c r="AT83" s="242">
        <f t="shared" ref="AT83" si="1803">IFERROR(AT82/AQ82-1,0)</f>
        <v>0</v>
      </c>
      <c r="AU83" s="283">
        <f t="shared" ref="AU83" si="1804">IFERROR(AU82/AR82-1,0)</f>
        <v>0</v>
      </c>
      <c r="AV83" s="283">
        <f t="shared" ref="AV83" si="1805">IFERROR(AV82/AS82-1,0)</f>
        <v>0</v>
      </c>
      <c r="AW83" s="242">
        <f t="shared" ref="AW83" si="1806">IFERROR(AW82/AT82-1,0)</f>
        <v>0</v>
      </c>
      <c r="AX83" s="210">
        <f>AVERAGE(W83,Z83,AC83,AF83,AU83)</f>
        <v>0</v>
      </c>
      <c r="AY83" s="210">
        <f>AVERAGE(X83,AA83,AD83,AG83,AV83)</f>
        <v>0</v>
      </c>
      <c r="AZ83" s="236"/>
      <c r="BA83" s="236"/>
      <c r="BB83" s="240"/>
      <c r="BC83" s="236"/>
      <c r="BD83" s="236"/>
      <c r="BE83" s="240"/>
      <c r="BF83" s="236"/>
      <c r="BG83" s="236"/>
      <c r="BH83" s="240"/>
      <c r="BI83" s="236"/>
      <c r="BJ83" s="236"/>
      <c r="BK83" s="240"/>
      <c r="BL83" s="236"/>
      <c r="BM83" s="236"/>
      <c r="BN83" s="240"/>
    </row>
    <row r="84" spans="1:66" x14ac:dyDescent="0.35">
      <c r="A84" s="244" t="s">
        <v>29</v>
      </c>
      <c r="E84" s="236"/>
      <c r="F84" s="236"/>
      <c r="G84" s="240"/>
      <c r="H84" s="247">
        <f>H83</f>
        <v>0</v>
      </c>
      <c r="I84" s="247">
        <f t="shared" ref="I84" si="1807">I83</f>
        <v>0</v>
      </c>
      <c r="J84" s="248">
        <f t="shared" ref="J84" si="1808">J83</f>
        <v>0</v>
      </c>
      <c r="K84" s="247">
        <f t="shared" ref="K84" si="1809">K83</f>
        <v>0</v>
      </c>
      <c r="L84" s="247">
        <f t="shared" ref="L84" si="1810">L83</f>
        <v>0</v>
      </c>
      <c r="M84" s="248">
        <f t="shared" ref="M84" si="1811">M83</f>
        <v>0</v>
      </c>
      <c r="N84" s="247">
        <f t="shared" ref="N84" si="1812">N83</f>
        <v>0</v>
      </c>
      <c r="O84" s="247">
        <f t="shared" ref="O84" si="1813">O83</f>
        <v>0</v>
      </c>
      <c r="P84" s="248">
        <f t="shared" ref="P84" si="1814">P83</f>
        <v>0</v>
      </c>
      <c r="Q84" s="247">
        <f t="shared" ref="Q84" si="1815">Q83</f>
        <v>0</v>
      </c>
      <c r="R84" s="247">
        <f t="shared" ref="R84" si="1816">R83</f>
        <v>0</v>
      </c>
      <c r="S84" s="248">
        <f t="shared" ref="S84" si="1817">S83</f>
        <v>0</v>
      </c>
      <c r="T84" s="247">
        <f t="shared" ref="T84" si="1818">T83</f>
        <v>0</v>
      </c>
      <c r="U84" s="247">
        <f t="shared" ref="U84" si="1819">U83</f>
        <v>0</v>
      </c>
      <c r="V84" s="248">
        <f t="shared" ref="V84" si="1820">V83</f>
        <v>0</v>
      </c>
      <c r="W84" s="247">
        <f t="shared" ref="W84" si="1821">W83</f>
        <v>0</v>
      </c>
      <c r="X84" s="247">
        <f t="shared" ref="X84" si="1822">X83</f>
        <v>0</v>
      </c>
      <c r="Y84" s="248">
        <f t="shared" ref="Y84" si="1823">Y83</f>
        <v>0</v>
      </c>
      <c r="Z84" s="247">
        <f t="shared" ref="Z84" si="1824">Z83</f>
        <v>0</v>
      </c>
      <c r="AA84" s="247">
        <f t="shared" ref="AA84" si="1825">AA83</f>
        <v>0</v>
      </c>
      <c r="AB84" s="248">
        <f t="shared" ref="AB84" si="1826">AB83</f>
        <v>0</v>
      </c>
      <c r="AC84" s="247">
        <f t="shared" ref="AC84" si="1827">AC83</f>
        <v>0</v>
      </c>
      <c r="AD84" s="247">
        <f t="shared" ref="AD84" si="1828">AD83</f>
        <v>0</v>
      </c>
      <c r="AE84" s="248">
        <f t="shared" ref="AE84" si="1829">AE83</f>
        <v>0</v>
      </c>
      <c r="AF84" s="247">
        <f t="shared" ref="AF84" si="1830">AF83</f>
        <v>0</v>
      </c>
      <c r="AG84" s="247">
        <f t="shared" ref="AG84" si="1831">AG83</f>
        <v>0</v>
      </c>
      <c r="AH84" s="248">
        <f t="shared" ref="AH84" si="1832">AH83</f>
        <v>0</v>
      </c>
      <c r="AI84" s="249">
        <f>AI83</f>
        <v>0</v>
      </c>
      <c r="AJ84" s="249">
        <f t="shared" ref="AJ84" si="1833">AJ83</f>
        <v>0</v>
      </c>
      <c r="AK84" s="249">
        <f t="shared" ref="AK84" si="1834">AK83</f>
        <v>0</v>
      </c>
      <c r="AL84" s="249">
        <f t="shared" ref="AL84" si="1835">AL83</f>
        <v>0</v>
      </c>
      <c r="AM84" s="249">
        <f t="shared" ref="AM84" si="1836">AM83</f>
        <v>0</v>
      </c>
      <c r="AN84" s="249">
        <f t="shared" ref="AN84" si="1837">AN83</f>
        <v>0</v>
      </c>
      <c r="AO84" s="249">
        <f t="shared" ref="AO84" si="1838">AO83</f>
        <v>0</v>
      </c>
      <c r="AP84" s="249">
        <f t="shared" ref="AP84" si="1839">AP83</f>
        <v>0</v>
      </c>
      <c r="AQ84" s="249">
        <f t="shared" ref="AQ84" si="1840">AQ83</f>
        <v>0</v>
      </c>
      <c r="AR84" s="249">
        <f t="shared" ref="AR84" si="1841">AR83</f>
        <v>0</v>
      </c>
      <c r="AS84" s="249">
        <f t="shared" ref="AS84" si="1842">AS83</f>
        <v>0</v>
      </c>
      <c r="AT84" s="249">
        <f t="shared" ref="AT84" si="1843">AT83</f>
        <v>0</v>
      </c>
      <c r="AU84" s="250">
        <f t="shared" ref="AU84" si="1844">AU83</f>
        <v>0</v>
      </c>
      <c r="AV84" s="250">
        <f t="shared" ref="AV84" si="1845">AV83</f>
        <v>0</v>
      </c>
      <c r="AW84" s="248">
        <f t="shared" ref="AW84" si="1846">AW83</f>
        <v>0</v>
      </c>
      <c r="AX84" s="278"/>
      <c r="AY84" s="278"/>
      <c r="AZ84" s="236"/>
      <c r="BA84" s="236"/>
      <c r="BB84" s="240"/>
      <c r="BC84" s="236"/>
      <c r="BD84" s="236"/>
      <c r="BE84" s="240"/>
      <c r="BF84" s="236"/>
      <c r="BG84" s="236"/>
      <c r="BH84" s="240"/>
      <c r="BI84" s="236"/>
      <c r="BJ84" s="236"/>
      <c r="BK84" s="240"/>
      <c r="BL84" s="236"/>
      <c r="BM84" s="236"/>
      <c r="BN84" s="240"/>
    </row>
    <row r="85" spans="1:66" x14ac:dyDescent="0.35">
      <c r="A85" s="264" t="s">
        <v>53</v>
      </c>
      <c r="B85" s="2"/>
      <c r="C85" s="2"/>
      <c r="D85" s="2"/>
      <c r="E85" s="259">
        <v>0</v>
      </c>
      <c r="F85" s="259">
        <v>0</v>
      </c>
      <c r="G85" s="260">
        <v>0</v>
      </c>
      <c r="H85" s="265">
        <v>0</v>
      </c>
      <c r="I85" s="265">
        <v>0</v>
      </c>
      <c r="J85" s="266">
        <v>0</v>
      </c>
      <c r="K85" s="265">
        <v>0</v>
      </c>
      <c r="L85" s="265">
        <v>0</v>
      </c>
      <c r="M85" s="266">
        <v>0</v>
      </c>
      <c r="N85" s="265">
        <v>0</v>
      </c>
      <c r="O85" s="265">
        <v>0</v>
      </c>
      <c r="P85" s="266">
        <v>0</v>
      </c>
      <c r="Q85" s="265">
        <v>0</v>
      </c>
      <c r="R85" s="265">
        <v>0</v>
      </c>
      <c r="S85" s="266">
        <v>0</v>
      </c>
      <c r="T85" s="265">
        <v>0</v>
      </c>
      <c r="U85" s="265">
        <v>0</v>
      </c>
      <c r="V85" s="266">
        <v>0</v>
      </c>
      <c r="W85" s="265">
        <v>0</v>
      </c>
      <c r="X85" s="265">
        <v>0</v>
      </c>
      <c r="Y85" s="266">
        <v>0</v>
      </c>
      <c r="Z85" s="265">
        <v>0</v>
      </c>
      <c r="AA85" s="265">
        <v>0</v>
      </c>
      <c r="AB85" s="266">
        <v>0</v>
      </c>
      <c r="AC85" s="265">
        <v>0</v>
      </c>
      <c r="AD85" s="265">
        <v>0</v>
      </c>
      <c r="AE85" s="266">
        <v>0</v>
      </c>
      <c r="AF85" s="265">
        <v>0</v>
      </c>
      <c r="AG85" s="265">
        <v>0</v>
      </c>
      <c r="AH85" s="266">
        <v>0</v>
      </c>
      <c r="AI85" s="265">
        <v>0</v>
      </c>
      <c r="AJ85" s="265">
        <v>0</v>
      </c>
      <c r="AK85" s="5">
        <f>AJ85+AI85</f>
        <v>0</v>
      </c>
      <c r="AL85" s="265">
        <v>0</v>
      </c>
      <c r="AM85" s="265">
        <v>0</v>
      </c>
      <c r="AN85" s="5">
        <f>AM85+AL85</f>
        <v>0</v>
      </c>
      <c r="AO85" s="265">
        <v>0</v>
      </c>
      <c r="AP85" s="265">
        <v>0</v>
      </c>
      <c r="AQ85" s="5">
        <f>AP85+AO85</f>
        <v>0</v>
      </c>
      <c r="AR85" s="6">
        <v>162</v>
      </c>
      <c r="AS85" s="6">
        <v>2</v>
      </c>
      <c r="AT85" s="5">
        <f>AS85+AR85</f>
        <v>164</v>
      </c>
      <c r="AU85" s="259">
        <f>AI85+AL85+AO85+AR85</f>
        <v>162</v>
      </c>
      <c r="AV85" s="259">
        <f>AJ85+AM85+AP85+AS85</f>
        <v>2</v>
      </c>
      <c r="AW85" s="260">
        <f>AU85+AV85</f>
        <v>164</v>
      </c>
      <c r="AX85" s="277"/>
      <c r="AY85" s="277"/>
      <c r="AZ85" s="259">
        <f>AU85*(1+AX86+0.3)</f>
        <v>210.6</v>
      </c>
      <c r="BA85" s="259">
        <f>AV85*(1+AY86)</f>
        <v>2</v>
      </c>
      <c r="BB85" s="260">
        <f>AZ85+BA85</f>
        <v>212.6</v>
      </c>
      <c r="BC85" s="259">
        <f>AZ85*(1+$AX86)</f>
        <v>210.6</v>
      </c>
      <c r="BD85" s="259">
        <f>BA85*(1+$AY86)</f>
        <v>2</v>
      </c>
      <c r="BE85" s="260">
        <f>BC85+BD85</f>
        <v>212.6</v>
      </c>
      <c r="BF85" s="259">
        <f>BC85*(1+$AX86)</f>
        <v>210.6</v>
      </c>
      <c r="BG85" s="259">
        <f>BD85*(1+$AY86)</f>
        <v>2</v>
      </c>
      <c r="BH85" s="260">
        <f>BF85+BG85</f>
        <v>212.6</v>
      </c>
      <c r="BI85" s="259">
        <f>BF85*(1+$AX86)</f>
        <v>210.6</v>
      </c>
      <c r="BJ85" s="259">
        <f>BG85*(1+$AY86)</f>
        <v>2</v>
      </c>
      <c r="BK85" s="260">
        <f>BI85+BJ85</f>
        <v>212.6</v>
      </c>
      <c r="BL85" s="259">
        <f>BI85*(1+$AX86)</f>
        <v>210.6</v>
      </c>
      <c r="BM85" s="259">
        <f>BJ85*(1+$AY86)</f>
        <v>2</v>
      </c>
      <c r="BN85" s="260">
        <f>BL85+BM85</f>
        <v>212.6</v>
      </c>
    </row>
    <row r="86" spans="1:66" x14ac:dyDescent="0.35">
      <c r="A86" s="241" t="s">
        <v>28</v>
      </c>
      <c r="E86" s="53"/>
      <c r="F86" s="53"/>
      <c r="G86" s="242"/>
      <c r="H86" s="53">
        <f t="shared" ref="H86" si="1847">IFERROR(H85/E85-1,0)</f>
        <v>0</v>
      </c>
      <c r="I86" s="53">
        <f t="shared" ref="I86" si="1848">IFERROR(I85/F85-1,0)</f>
        <v>0</v>
      </c>
      <c r="J86" s="242">
        <f t="shared" ref="J86" si="1849">IFERROR(J85/G85-1,0)</f>
        <v>0</v>
      </c>
      <c r="K86" s="53">
        <f>IFERROR(K85/H85-1,0)</f>
        <v>0</v>
      </c>
      <c r="L86" s="53">
        <f t="shared" ref="L86" si="1850">IFERROR(L85/I85-1,0)</f>
        <v>0</v>
      </c>
      <c r="M86" s="242">
        <f t="shared" ref="M86" si="1851">IFERROR(M85/J85-1,0)</f>
        <v>0</v>
      </c>
      <c r="N86" s="53">
        <f t="shared" ref="N86" si="1852">IFERROR(N85/K85-1,0)</f>
        <v>0</v>
      </c>
      <c r="O86" s="53">
        <f t="shared" ref="O86" si="1853">IFERROR(O85/L85-1,0)</f>
        <v>0</v>
      </c>
      <c r="P86" s="242">
        <f t="shared" ref="P86" si="1854">IFERROR(P85/M85-1,0)</f>
        <v>0</v>
      </c>
      <c r="Q86" s="53">
        <f t="shared" ref="Q86" si="1855">IFERROR(Q85/N85-1,0)</f>
        <v>0</v>
      </c>
      <c r="R86" s="53">
        <f t="shared" ref="R86" si="1856">IFERROR(R85/O85-1,0)</f>
        <v>0</v>
      </c>
      <c r="S86" s="242">
        <f t="shared" ref="S86" si="1857">IFERROR(S85/P85-1,0)</f>
        <v>0</v>
      </c>
      <c r="T86" s="53">
        <f t="shared" ref="T86" si="1858">IFERROR(T85/Q85-1,0)</f>
        <v>0</v>
      </c>
      <c r="U86" s="53">
        <f t="shared" ref="U86" si="1859">IFERROR(U85/R85-1,0)</f>
        <v>0</v>
      </c>
      <c r="V86" s="242">
        <f t="shared" ref="V86" si="1860">IFERROR(V85/S85-1,0)</f>
        <v>0</v>
      </c>
      <c r="W86" s="53">
        <f t="shared" ref="W86" si="1861">IFERROR(W85/T85-1,0)</f>
        <v>0</v>
      </c>
      <c r="X86" s="53">
        <f t="shared" ref="X86" si="1862">IFERROR(X85/U85-1,0)</f>
        <v>0</v>
      </c>
      <c r="Y86" s="242">
        <f t="shared" ref="Y86" si="1863">IFERROR(Y85/V85-1,0)</f>
        <v>0</v>
      </c>
      <c r="Z86" s="53">
        <f t="shared" ref="Z86" si="1864">IFERROR(Z85/W85-1,0)</f>
        <v>0</v>
      </c>
      <c r="AA86" s="53">
        <f t="shared" ref="AA86" si="1865">IFERROR(AA85/X85-1,0)</f>
        <v>0</v>
      </c>
      <c r="AB86" s="242">
        <f t="shared" ref="AB86" si="1866">IFERROR(AB85/Y85-1,0)</f>
        <v>0</v>
      </c>
      <c r="AC86" s="53">
        <f t="shared" ref="AC86" si="1867">IFERROR(AC85/Z85-1,0)</f>
        <v>0</v>
      </c>
      <c r="AD86" s="53">
        <f t="shared" ref="AD86" si="1868">IFERROR(AD85/AA85-1,0)</f>
        <v>0</v>
      </c>
      <c r="AE86" s="242">
        <f t="shared" ref="AE86" si="1869">IFERROR(AE85/AB85-1,0)</f>
        <v>0</v>
      </c>
      <c r="AF86" s="53">
        <f t="shared" ref="AF86" si="1870">IFERROR(AF85/AC85-1,0)</f>
        <v>0</v>
      </c>
      <c r="AG86" s="53">
        <f t="shared" ref="AG86" si="1871">IFERROR(AG85/AD85-1,0)</f>
        <v>0</v>
      </c>
      <c r="AH86" s="242">
        <f t="shared" ref="AH86" si="1872">IFERROR(AH85/AE85-1,0)</f>
        <v>0</v>
      </c>
      <c r="AI86" s="53">
        <f>IFERROR(AI85/AF85-1,0)</f>
        <v>0</v>
      </c>
      <c r="AJ86" s="53">
        <f t="shared" ref="AJ86:AK86" si="1873">IFERROR(AJ85/AG85-1,0)</f>
        <v>0</v>
      </c>
      <c r="AK86" s="242">
        <f t="shared" si="1873"/>
        <v>0</v>
      </c>
      <c r="AL86" s="53">
        <f t="shared" ref="AL86" si="1874">IFERROR(AL85/AI85-1,0)</f>
        <v>0</v>
      </c>
      <c r="AM86" s="53">
        <f t="shared" ref="AM86:AN86" si="1875">IFERROR(AM85/AJ85-1,0)</f>
        <v>0</v>
      </c>
      <c r="AN86" s="242">
        <f t="shared" si="1875"/>
        <v>0</v>
      </c>
      <c r="AO86" s="53">
        <f t="shared" ref="AO86" si="1876">IFERROR(AO85/AL85-1,0)</f>
        <v>0</v>
      </c>
      <c r="AP86" s="53">
        <f t="shared" ref="AP86:AQ86" si="1877">IFERROR(AP85/AM85-1,0)</f>
        <v>0</v>
      </c>
      <c r="AQ86" s="242">
        <f t="shared" si="1877"/>
        <v>0</v>
      </c>
      <c r="AR86" s="53">
        <f t="shared" ref="AR86" si="1878">IFERROR(AR85/AO85-1,0)</f>
        <v>0</v>
      </c>
      <c r="AS86" s="53">
        <f t="shared" ref="AS86" si="1879">IFERROR(AS85/AP85-1,0)</f>
        <v>0</v>
      </c>
      <c r="AT86" s="242">
        <f t="shared" ref="AT86" si="1880">IFERROR(AT85/AQ85-1,0)</f>
        <v>0</v>
      </c>
      <c r="AU86" s="283">
        <f t="shared" ref="AU86" si="1881">IFERROR(AU85/AR85-1,0)</f>
        <v>0</v>
      </c>
      <c r="AV86" s="283">
        <f t="shared" ref="AV86" si="1882">IFERROR(AV85/AS85-1,0)</f>
        <v>0</v>
      </c>
      <c r="AW86" s="242">
        <f t="shared" ref="AW86" si="1883">IFERROR(AW85/AT85-1,0)</f>
        <v>0</v>
      </c>
      <c r="AX86" s="210">
        <f>AVERAGE(W86,Z86,AC86,AF86,AU86)</f>
        <v>0</v>
      </c>
      <c r="AY86" s="210">
        <f>AVERAGE(X86,AA86,AD86,AG86,AV86)</f>
        <v>0</v>
      </c>
      <c r="AZ86" s="236"/>
      <c r="BA86" s="236"/>
      <c r="BB86" s="240"/>
      <c r="BC86" s="236"/>
      <c r="BD86" s="236"/>
      <c r="BE86" s="240"/>
      <c r="BF86" s="236"/>
      <c r="BG86" s="236"/>
      <c r="BH86" s="240"/>
      <c r="BI86" s="236"/>
      <c r="BJ86" s="236"/>
      <c r="BK86" s="240"/>
      <c r="BL86" s="236"/>
      <c r="BM86" s="236"/>
      <c r="BN86" s="240"/>
    </row>
    <row r="87" spans="1:66" x14ac:dyDescent="0.35">
      <c r="A87" s="244" t="s">
        <v>29</v>
      </c>
      <c r="E87" s="236"/>
      <c r="F87" s="236"/>
      <c r="G87" s="240"/>
      <c r="H87" s="247">
        <f>H86</f>
        <v>0</v>
      </c>
      <c r="I87" s="247">
        <f t="shared" ref="I87" si="1884">I86</f>
        <v>0</v>
      </c>
      <c r="J87" s="248">
        <f t="shared" ref="J87" si="1885">J86</f>
        <v>0</v>
      </c>
      <c r="K87" s="247">
        <f t="shared" ref="K87" si="1886">K86</f>
        <v>0</v>
      </c>
      <c r="L87" s="247">
        <f t="shared" ref="L87" si="1887">L86</f>
        <v>0</v>
      </c>
      <c r="M87" s="248">
        <f t="shared" ref="M87" si="1888">M86</f>
        <v>0</v>
      </c>
      <c r="N87" s="247">
        <f t="shared" ref="N87" si="1889">N86</f>
        <v>0</v>
      </c>
      <c r="O87" s="247">
        <f t="shared" ref="O87" si="1890">O86</f>
        <v>0</v>
      </c>
      <c r="P87" s="248">
        <f t="shared" ref="P87" si="1891">P86</f>
        <v>0</v>
      </c>
      <c r="Q87" s="247">
        <f t="shared" ref="Q87" si="1892">Q86</f>
        <v>0</v>
      </c>
      <c r="R87" s="247">
        <f t="shared" ref="R87" si="1893">R86</f>
        <v>0</v>
      </c>
      <c r="S87" s="248">
        <f t="shared" ref="S87" si="1894">S86</f>
        <v>0</v>
      </c>
      <c r="T87" s="247">
        <f t="shared" ref="T87" si="1895">T86</f>
        <v>0</v>
      </c>
      <c r="U87" s="247">
        <f t="shared" ref="U87" si="1896">U86</f>
        <v>0</v>
      </c>
      <c r="V87" s="248">
        <f t="shared" ref="V87" si="1897">V86</f>
        <v>0</v>
      </c>
      <c r="W87" s="247">
        <f t="shared" ref="W87" si="1898">W86</f>
        <v>0</v>
      </c>
      <c r="X87" s="247">
        <f t="shared" ref="X87" si="1899">X86</f>
        <v>0</v>
      </c>
      <c r="Y87" s="248">
        <f t="shared" ref="Y87" si="1900">Y86</f>
        <v>0</v>
      </c>
      <c r="Z87" s="247">
        <f t="shared" ref="Z87" si="1901">Z86</f>
        <v>0</v>
      </c>
      <c r="AA87" s="247">
        <f t="shared" ref="AA87" si="1902">AA86</f>
        <v>0</v>
      </c>
      <c r="AB87" s="248">
        <f t="shared" ref="AB87" si="1903">AB86</f>
        <v>0</v>
      </c>
      <c r="AC87" s="247">
        <f t="shared" ref="AC87" si="1904">AC86</f>
        <v>0</v>
      </c>
      <c r="AD87" s="247">
        <f t="shared" ref="AD87" si="1905">AD86</f>
        <v>0</v>
      </c>
      <c r="AE87" s="248">
        <f t="shared" ref="AE87" si="1906">AE86</f>
        <v>0</v>
      </c>
      <c r="AF87" s="247">
        <f t="shared" ref="AF87" si="1907">AF86</f>
        <v>0</v>
      </c>
      <c r="AG87" s="247">
        <f t="shared" ref="AG87" si="1908">AG86</f>
        <v>0</v>
      </c>
      <c r="AH87" s="248">
        <f t="shared" ref="AH87" si="1909">AH86</f>
        <v>0</v>
      </c>
      <c r="AI87" s="249">
        <f>AI86</f>
        <v>0</v>
      </c>
      <c r="AJ87" s="249">
        <f t="shared" ref="AJ87" si="1910">AJ86</f>
        <v>0</v>
      </c>
      <c r="AK87" s="249">
        <f t="shared" ref="AK87" si="1911">AK86</f>
        <v>0</v>
      </c>
      <c r="AL87" s="249">
        <f t="shared" ref="AL87" si="1912">AL86</f>
        <v>0</v>
      </c>
      <c r="AM87" s="249">
        <f t="shared" ref="AM87" si="1913">AM86</f>
        <v>0</v>
      </c>
      <c r="AN87" s="249">
        <f t="shared" ref="AN87" si="1914">AN86</f>
        <v>0</v>
      </c>
      <c r="AO87" s="249">
        <f t="shared" ref="AO87" si="1915">AO86</f>
        <v>0</v>
      </c>
      <c r="AP87" s="249">
        <f t="shared" ref="AP87" si="1916">AP86</f>
        <v>0</v>
      </c>
      <c r="AQ87" s="249">
        <f t="shared" ref="AQ87" si="1917">AQ86</f>
        <v>0</v>
      </c>
      <c r="AR87" s="249">
        <f t="shared" ref="AR87" si="1918">AR86</f>
        <v>0</v>
      </c>
      <c r="AS87" s="249">
        <f t="shared" ref="AS87" si="1919">AS86</f>
        <v>0</v>
      </c>
      <c r="AT87" s="249">
        <f t="shared" ref="AT87" si="1920">AT86</f>
        <v>0</v>
      </c>
      <c r="AU87" s="250">
        <f t="shared" ref="AU87" si="1921">AU86</f>
        <v>0</v>
      </c>
      <c r="AV87" s="250">
        <f t="shared" ref="AV87" si="1922">AV86</f>
        <v>0</v>
      </c>
      <c r="AW87" s="248">
        <f t="shared" ref="AW87" si="1923">AW86</f>
        <v>0</v>
      </c>
      <c r="AX87" s="278"/>
      <c r="AY87" s="278"/>
      <c r="AZ87" s="236"/>
      <c r="BA87" s="236"/>
      <c r="BB87" s="240"/>
      <c r="BC87" s="236"/>
      <c r="BD87" s="236"/>
      <c r="BE87" s="240"/>
      <c r="BF87" s="236"/>
      <c r="BG87" s="236"/>
      <c r="BH87" s="240"/>
      <c r="BI87" s="236"/>
      <c r="BJ87" s="236"/>
      <c r="BK87" s="240"/>
      <c r="BL87" s="236"/>
      <c r="BM87" s="236"/>
      <c r="BN87" s="240"/>
    </row>
    <row r="88" spans="1:66" x14ac:dyDescent="0.35">
      <c r="A88" s="69" t="s">
        <v>35</v>
      </c>
      <c r="B88" s="2"/>
      <c r="C88" s="2"/>
      <c r="D88" s="2"/>
      <c r="E88" s="259">
        <v>0</v>
      </c>
      <c r="F88" s="259">
        <v>0</v>
      </c>
      <c r="G88" s="260">
        <f>E88+F88</f>
        <v>0</v>
      </c>
      <c r="H88" s="259">
        <v>0</v>
      </c>
      <c r="I88" s="259">
        <v>0</v>
      </c>
      <c r="J88" s="260">
        <f>H88+I88</f>
        <v>0</v>
      </c>
      <c r="K88" s="259">
        <v>0</v>
      </c>
      <c r="L88" s="259">
        <v>0</v>
      </c>
      <c r="M88" s="260">
        <f>K88+L88</f>
        <v>0</v>
      </c>
      <c r="N88" s="259">
        <v>0</v>
      </c>
      <c r="O88" s="259">
        <v>0</v>
      </c>
      <c r="P88" s="260">
        <f>N88+O88</f>
        <v>0</v>
      </c>
      <c r="Q88" s="259">
        <v>0</v>
      </c>
      <c r="R88" s="259">
        <v>0</v>
      </c>
      <c r="S88" s="260">
        <f>Q88+R88</f>
        <v>0</v>
      </c>
      <c r="T88" s="259">
        <v>0</v>
      </c>
      <c r="U88" s="259">
        <v>0</v>
      </c>
      <c r="V88" s="260">
        <f>T88+U88</f>
        <v>0</v>
      </c>
      <c r="W88" s="259">
        <v>0</v>
      </c>
      <c r="X88" s="259">
        <v>215</v>
      </c>
      <c r="Y88" s="260">
        <f>W88+X88</f>
        <v>215</v>
      </c>
      <c r="Z88" s="259">
        <v>0</v>
      </c>
      <c r="AA88" s="259">
        <v>331</v>
      </c>
      <c r="AB88" s="260">
        <f>Z88+AA88</f>
        <v>331</v>
      </c>
      <c r="AC88" s="259">
        <v>0</v>
      </c>
      <c r="AD88" s="259">
        <v>439</v>
      </c>
      <c r="AE88" s="260">
        <f>AC88+AD88</f>
        <v>439</v>
      </c>
      <c r="AF88" s="259">
        <v>0</v>
      </c>
      <c r="AG88" s="259">
        <v>460</v>
      </c>
      <c r="AH88" s="260">
        <f>AF88+AG88</f>
        <v>460</v>
      </c>
      <c r="AI88" s="6">
        <v>51</v>
      </c>
      <c r="AJ88" s="6">
        <v>113</v>
      </c>
      <c r="AK88" s="5">
        <f>AJ88+AI88</f>
        <v>164</v>
      </c>
      <c r="AL88" s="6">
        <v>19</v>
      </c>
      <c r="AM88" s="6">
        <v>131</v>
      </c>
      <c r="AN88" s="5">
        <f>AM88+AL88</f>
        <v>150</v>
      </c>
      <c r="AO88" s="6">
        <v>23</v>
      </c>
      <c r="AP88" s="6">
        <v>129</v>
      </c>
      <c r="AQ88" s="5">
        <f>AP88+AO88</f>
        <v>152</v>
      </c>
      <c r="AR88" s="6">
        <v>33</v>
      </c>
      <c r="AS88" s="6">
        <v>127</v>
      </c>
      <c r="AT88" s="5">
        <f>AS88+AR88</f>
        <v>160</v>
      </c>
      <c r="AU88" s="259">
        <f>AI88+AL88+AO88+AR88</f>
        <v>126</v>
      </c>
      <c r="AV88" s="259">
        <f>AJ88+AM88+AP88+AS88</f>
        <v>500</v>
      </c>
      <c r="AW88" s="260">
        <f>AU88+AV88</f>
        <v>626</v>
      </c>
      <c r="AX88" s="277"/>
      <c r="AY88" s="277"/>
      <c r="AZ88" s="259">
        <f>AU88*(1+AX89)</f>
        <v>127.26</v>
      </c>
      <c r="BA88" s="259">
        <f>AV88*(1+AY89)</f>
        <v>600.06113842638513</v>
      </c>
      <c r="BB88" s="260">
        <f>AZ88+BA88</f>
        <v>727.32113842638512</v>
      </c>
      <c r="BC88" s="259">
        <f>AZ88*(1+$AX89)</f>
        <v>128.5326</v>
      </c>
      <c r="BD88" s="259">
        <f>BA88*(1+$AY89)</f>
        <v>720.14673969913861</v>
      </c>
      <c r="BE88" s="260">
        <f>BC88+BD88</f>
        <v>848.67933969913861</v>
      </c>
      <c r="BF88" s="259">
        <f>BC88*(1+$AX89)</f>
        <v>129.817926</v>
      </c>
      <c r="BG88" s="259">
        <f>BD88*(1+$AY89-0.16)</f>
        <v>749.04066656396731</v>
      </c>
      <c r="BH88" s="260">
        <f>BF88+BG88</f>
        <v>878.85859256396725</v>
      </c>
      <c r="BI88" s="259">
        <f>BF88*(1+$AX89)</f>
        <v>131.11610526000001</v>
      </c>
      <c r="BJ88" s="259">
        <f>BG88*(1+$AY89-0.16)</f>
        <v>779.09388356183035</v>
      </c>
      <c r="BK88" s="260">
        <f>BI88+BJ88</f>
        <v>910.20998882183039</v>
      </c>
      <c r="BL88" s="259">
        <f>BI88*(1+$AX89)</f>
        <v>132.42726631260001</v>
      </c>
      <c r="BM88" s="259">
        <f>BJ88*(1+$AY89-0.15)</f>
        <v>818.14384288801637</v>
      </c>
      <c r="BN88" s="260">
        <f>BL88+BM88</f>
        <v>950.57110920061632</v>
      </c>
    </row>
    <row r="89" spans="1:66" x14ac:dyDescent="0.35">
      <c r="A89" s="241" t="s">
        <v>28</v>
      </c>
      <c r="E89" s="53"/>
      <c r="F89" s="53"/>
      <c r="G89" s="242"/>
      <c r="H89" s="53">
        <f t="shared" ref="H89" si="1924">IFERROR(H88/E88-1,0)</f>
        <v>0</v>
      </c>
      <c r="I89" s="53">
        <f t="shared" ref="I89" si="1925">IFERROR(I88/F88-1,0)</f>
        <v>0</v>
      </c>
      <c r="J89" s="242">
        <f t="shared" ref="J89" si="1926">IFERROR(J88/G88-1,0)</f>
        <v>0</v>
      </c>
      <c r="K89" s="53">
        <f>IFERROR(K88/H88-1,0)</f>
        <v>0</v>
      </c>
      <c r="L89" s="53">
        <f t="shared" ref="L89" si="1927">IFERROR(L88/I88-1,0)</f>
        <v>0</v>
      </c>
      <c r="M89" s="242">
        <f t="shared" ref="M89" si="1928">IFERROR(M88/J88-1,0)</f>
        <v>0</v>
      </c>
      <c r="N89" s="53">
        <f t="shared" ref="N89" si="1929">IFERROR(N88/K88-1,0)</f>
        <v>0</v>
      </c>
      <c r="O89" s="53">
        <f t="shared" ref="O89" si="1930">IFERROR(O88/L88-1,0)</f>
        <v>0</v>
      </c>
      <c r="P89" s="242">
        <f t="shared" ref="P89" si="1931">IFERROR(P88/M88-1,0)</f>
        <v>0</v>
      </c>
      <c r="Q89" s="53">
        <f t="shared" ref="Q89" si="1932">IFERROR(Q88/N88-1,0)</f>
        <v>0</v>
      </c>
      <c r="R89" s="53">
        <f t="shared" ref="R89" si="1933">IFERROR(R88/O88-1,0)</f>
        <v>0</v>
      </c>
      <c r="S89" s="242">
        <f t="shared" ref="S89" si="1934">IFERROR(S88/P88-1,0)</f>
        <v>0</v>
      </c>
      <c r="T89" s="53">
        <f t="shared" ref="T89" si="1935">IFERROR(T88/Q88-1,0)</f>
        <v>0</v>
      </c>
      <c r="U89" s="53">
        <f t="shared" ref="U89" si="1936">IFERROR(U88/R88-1,0)</f>
        <v>0</v>
      </c>
      <c r="V89" s="242">
        <f t="shared" ref="V89" si="1937">IFERROR(V88/S88-1,0)</f>
        <v>0</v>
      </c>
      <c r="W89" s="53">
        <f t="shared" ref="W89" si="1938">IFERROR(W88/T88-1,0)</f>
        <v>0</v>
      </c>
      <c r="X89" s="53">
        <f t="shared" ref="X89" si="1939">IFERROR(X88/U88-1,0)</f>
        <v>0</v>
      </c>
      <c r="Y89" s="242">
        <f t="shared" ref="Y89" si="1940">IFERROR(Y88/V88-1,0)</f>
        <v>0</v>
      </c>
      <c r="Z89" s="53">
        <f t="shared" ref="Z89" si="1941">IFERROR(Z88/W88-1,0)</f>
        <v>0</v>
      </c>
      <c r="AA89" s="53">
        <f t="shared" ref="AA89" si="1942">IFERROR(AA88/X88-1,0)</f>
        <v>0.53953488372093017</v>
      </c>
      <c r="AB89" s="242">
        <f t="shared" ref="AB89" si="1943">IFERROR(AB88/Y88-1,0)</f>
        <v>0.53953488372093017</v>
      </c>
      <c r="AC89" s="53">
        <f t="shared" ref="AC89" si="1944">IFERROR(AC88/Z88-1,0)</f>
        <v>0</v>
      </c>
      <c r="AD89" s="53">
        <f t="shared" ref="AD89" si="1945">IFERROR(AD88/AA88-1,0)</f>
        <v>0.3262839879154078</v>
      </c>
      <c r="AE89" s="242">
        <f t="shared" ref="AE89" si="1946">IFERROR(AE88/AB88-1,0)</f>
        <v>0.3262839879154078</v>
      </c>
      <c r="AF89" s="53">
        <f t="shared" ref="AF89" si="1947">IFERROR(AF88/AC88-1,0)</f>
        <v>0</v>
      </c>
      <c r="AG89" s="53">
        <f t="shared" ref="AG89" si="1948">IFERROR(AG88/AD88-1,0)</f>
        <v>4.7835990888382751E-2</v>
      </c>
      <c r="AH89" s="242">
        <f t="shared" ref="AH89" si="1949">IFERROR(AH88/AE88-1,0)</f>
        <v>4.7835990888382751E-2</v>
      </c>
      <c r="AI89" s="53">
        <f>IFERROR(AI88/AF88-1,0)</f>
        <v>0</v>
      </c>
      <c r="AJ89" s="53">
        <f t="shared" ref="AJ89:AK89" si="1950">IFERROR(AJ88/AG88-1,0)</f>
        <v>-0.7543478260869565</v>
      </c>
      <c r="AK89" s="242">
        <f t="shared" si="1950"/>
        <v>-0.64347826086956528</v>
      </c>
      <c r="AL89" s="53">
        <f t="shared" ref="AL89" si="1951">IFERROR(AL88/AI88-1,0)</f>
        <v>-0.62745098039215685</v>
      </c>
      <c r="AM89" s="53">
        <f t="shared" ref="AM89:AN89" si="1952">IFERROR(AM88/AJ88-1,0)</f>
        <v>0.15929203539823011</v>
      </c>
      <c r="AN89" s="242">
        <f t="shared" si="1952"/>
        <v>-8.536585365853655E-2</v>
      </c>
      <c r="AO89" s="53">
        <f t="shared" ref="AO89" si="1953">IFERROR(AO88/AL88-1,0)</f>
        <v>0.21052631578947367</v>
      </c>
      <c r="AP89" s="53">
        <f t="shared" ref="AP89" si="1954">IFERROR(AP88/AM88-1,0)</f>
        <v>-1.5267175572519109E-2</v>
      </c>
      <c r="AQ89" s="242">
        <f t="shared" ref="AQ89:AT89" si="1955">IFERROR(AQ88/AN88-1,0)</f>
        <v>1.3333333333333419E-2</v>
      </c>
      <c r="AR89" s="53">
        <f t="shared" ref="AR89" si="1956">IFERROR(AR88/AO88-1,0)</f>
        <v>0.43478260869565211</v>
      </c>
      <c r="AS89" s="53">
        <f t="shared" si="1955"/>
        <v>-1.5503875968992276E-2</v>
      </c>
      <c r="AT89" s="242">
        <f t="shared" si="1955"/>
        <v>5.2631578947368363E-2</v>
      </c>
      <c r="AU89" s="283">
        <f>IFERROR(AU88/AF88-1,0)</f>
        <v>0</v>
      </c>
      <c r="AV89" s="283">
        <f t="shared" ref="AV89" si="1957">IFERROR(AV88/AG88-1,0)</f>
        <v>8.6956521739130377E-2</v>
      </c>
      <c r="AW89" s="242">
        <f>IFERROR(AW88/AH88-1,0)</f>
        <v>0.36086956521739122</v>
      </c>
      <c r="AX89" s="210">
        <v>0.01</v>
      </c>
      <c r="AY89" s="210">
        <f>AVERAGE(X89,AA89,AD89,AG89,AV89)</f>
        <v>0.20012227685277023</v>
      </c>
      <c r="AZ89" s="236"/>
      <c r="BA89" s="236"/>
      <c r="BB89" s="240"/>
      <c r="BC89" s="236"/>
      <c r="BD89" s="236"/>
      <c r="BE89" s="240"/>
      <c r="BF89" s="236"/>
      <c r="BG89" s="236"/>
      <c r="BH89" s="240"/>
      <c r="BI89" s="236"/>
      <c r="BJ89" s="236"/>
      <c r="BK89" s="240"/>
      <c r="BL89" s="236"/>
      <c r="BM89" s="236"/>
      <c r="BN89" s="240"/>
    </row>
    <row r="90" spans="1:66" x14ac:dyDescent="0.35">
      <c r="A90" s="244" t="s">
        <v>29</v>
      </c>
      <c r="E90" s="236"/>
      <c r="F90" s="236"/>
      <c r="G90" s="240"/>
      <c r="H90" s="247">
        <f>H89</f>
        <v>0</v>
      </c>
      <c r="I90" s="247">
        <f t="shared" ref="I90" si="1958">I89</f>
        <v>0</v>
      </c>
      <c r="J90" s="248">
        <f t="shared" ref="J90" si="1959">J89</f>
        <v>0</v>
      </c>
      <c r="K90" s="247">
        <f t="shared" ref="K90" si="1960">K89</f>
        <v>0</v>
      </c>
      <c r="L90" s="247">
        <f t="shared" ref="L90" si="1961">L89</f>
        <v>0</v>
      </c>
      <c r="M90" s="248">
        <f t="shared" ref="M90" si="1962">M89</f>
        <v>0</v>
      </c>
      <c r="N90" s="247">
        <f t="shared" ref="N90" si="1963">N89</f>
        <v>0</v>
      </c>
      <c r="O90" s="247">
        <f t="shared" ref="O90" si="1964">O89</f>
        <v>0</v>
      </c>
      <c r="P90" s="248">
        <f t="shared" ref="P90" si="1965">P89</f>
        <v>0</v>
      </c>
      <c r="Q90" s="247">
        <f t="shared" ref="Q90" si="1966">Q89</f>
        <v>0</v>
      </c>
      <c r="R90" s="247">
        <f t="shared" ref="R90" si="1967">R89</f>
        <v>0</v>
      </c>
      <c r="S90" s="248">
        <f t="shared" ref="S90" si="1968">S89</f>
        <v>0</v>
      </c>
      <c r="T90" s="247">
        <f t="shared" ref="T90" si="1969">T89</f>
        <v>0</v>
      </c>
      <c r="U90" s="247">
        <f t="shared" ref="U90" si="1970">U89</f>
        <v>0</v>
      </c>
      <c r="V90" s="248">
        <f t="shared" ref="V90" si="1971">V89</f>
        <v>0</v>
      </c>
      <c r="W90" s="247">
        <f t="shared" ref="W90" si="1972">W89</f>
        <v>0</v>
      </c>
      <c r="X90" s="247">
        <f t="shared" ref="X90" si="1973">X89</f>
        <v>0</v>
      </c>
      <c r="Y90" s="248">
        <f t="shared" ref="Y90" si="1974">Y89</f>
        <v>0</v>
      </c>
      <c r="Z90" s="247">
        <f t="shared" ref="Z90" si="1975">Z89</f>
        <v>0</v>
      </c>
      <c r="AA90" s="247">
        <f t="shared" ref="AA90" si="1976">AA89</f>
        <v>0.53953488372093017</v>
      </c>
      <c r="AB90" s="248">
        <f t="shared" ref="AB90" si="1977">AB89</f>
        <v>0.53953488372093017</v>
      </c>
      <c r="AC90" s="247">
        <f t="shared" ref="AC90" si="1978">AC89</f>
        <v>0</v>
      </c>
      <c r="AD90" s="247">
        <f t="shared" ref="AD90" si="1979">AD89</f>
        <v>0.3262839879154078</v>
      </c>
      <c r="AE90" s="248">
        <f t="shared" ref="AE90" si="1980">AE89</f>
        <v>0.3262839879154078</v>
      </c>
      <c r="AF90" s="247">
        <f t="shared" ref="AF90" si="1981">AF89</f>
        <v>0</v>
      </c>
      <c r="AG90" s="247">
        <f t="shared" ref="AG90" si="1982">AG89</f>
        <v>4.7835990888382751E-2</v>
      </c>
      <c r="AH90" s="248">
        <f t="shared" ref="AH90" si="1983">AH89</f>
        <v>4.7835990888382751E-2</v>
      </c>
      <c r="AI90" s="249">
        <f>AI89</f>
        <v>0</v>
      </c>
      <c r="AJ90" s="249">
        <f t="shared" ref="AJ90" si="1984">AJ89</f>
        <v>-0.7543478260869565</v>
      </c>
      <c r="AK90" s="249">
        <f t="shared" ref="AK90" si="1985">AK89</f>
        <v>-0.64347826086956528</v>
      </c>
      <c r="AL90" s="249">
        <f t="shared" ref="AL90" si="1986">AL89</f>
        <v>-0.62745098039215685</v>
      </c>
      <c r="AM90" s="249">
        <f t="shared" ref="AM90" si="1987">AM89</f>
        <v>0.15929203539823011</v>
      </c>
      <c r="AN90" s="249">
        <f t="shared" ref="AN90" si="1988">AN89</f>
        <v>-8.536585365853655E-2</v>
      </c>
      <c r="AO90" s="249">
        <f t="shared" ref="AO90" si="1989">AO89</f>
        <v>0.21052631578947367</v>
      </c>
      <c r="AP90" s="249">
        <f t="shared" ref="AP90" si="1990">AP89</f>
        <v>-1.5267175572519109E-2</v>
      </c>
      <c r="AQ90" s="249">
        <f t="shared" ref="AQ90" si="1991">AQ89</f>
        <v>1.3333333333333419E-2</v>
      </c>
      <c r="AR90" s="249">
        <f t="shared" ref="AR90" si="1992">AR89</f>
        <v>0.43478260869565211</v>
      </c>
      <c r="AS90" s="249">
        <f t="shared" ref="AS90" si="1993">AS89</f>
        <v>-1.5503875968992276E-2</v>
      </c>
      <c r="AT90" s="249">
        <f t="shared" ref="AT90" si="1994">AT89</f>
        <v>5.2631578947368363E-2</v>
      </c>
      <c r="AU90" s="250">
        <f>AU89</f>
        <v>0</v>
      </c>
      <c r="AV90" s="250">
        <f t="shared" ref="AV90" si="1995">AV89</f>
        <v>8.6956521739130377E-2</v>
      </c>
      <c r="AW90" s="248">
        <f t="shared" ref="AW90" si="1996">AW89</f>
        <v>0.36086956521739122</v>
      </c>
      <c r="AX90" s="278"/>
      <c r="AY90" s="278"/>
      <c r="AZ90" s="236"/>
      <c r="BA90" s="236"/>
      <c r="BB90" s="240"/>
      <c r="BC90" s="236"/>
      <c r="BD90" s="236"/>
      <c r="BE90" s="240"/>
      <c r="BF90" s="236"/>
      <c r="BG90" s="236"/>
      <c r="BH90" s="240"/>
      <c r="BI90" s="236"/>
      <c r="BJ90" s="236"/>
      <c r="BK90" s="240"/>
      <c r="BL90" s="236"/>
      <c r="BM90" s="236"/>
      <c r="BN90" s="240"/>
    </row>
    <row r="91" spans="1:66" x14ac:dyDescent="0.35">
      <c r="A91" s="69" t="s">
        <v>27</v>
      </c>
      <c r="B91" s="2"/>
      <c r="C91" s="2"/>
      <c r="D91" s="2"/>
      <c r="E91" s="259">
        <v>0</v>
      </c>
      <c r="F91" s="259">
        <v>246</v>
      </c>
      <c r="G91" s="260">
        <f>E91+F91</f>
        <v>246</v>
      </c>
      <c r="H91" s="259">
        <v>0</v>
      </c>
      <c r="I91" s="259">
        <v>206</v>
      </c>
      <c r="J91" s="260">
        <f>H91+I91</f>
        <v>206</v>
      </c>
      <c r="K91" s="259">
        <v>84</v>
      </c>
      <c r="L91" s="259">
        <v>207</v>
      </c>
      <c r="M91" s="260">
        <f>K91+L91</f>
        <v>291</v>
      </c>
      <c r="N91" s="259">
        <v>60</v>
      </c>
      <c r="O91" s="259">
        <v>190</v>
      </c>
      <c r="P91" s="260">
        <f>N91+O91</f>
        <v>250</v>
      </c>
      <c r="Q91" s="259">
        <v>68</v>
      </c>
      <c r="R91" s="259">
        <v>188</v>
      </c>
      <c r="S91" s="260">
        <f>Q91+R91</f>
        <v>256</v>
      </c>
      <c r="T91" s="259">
        <v>85</v>
      </c>
      <c r="U91" s="259">
        <v>190</v>
      </c>
      <c r="V91" s="260">
        <f>T91+U91</f>
        <v>275</v>
      </c>
      <c r="W91" s="259">
        <v>105</v>
      </c>
      <c r="X91" s="259">
        <v>207</v>
      </c>
      <c r="Y91" s="260">
        <f>W91+X91</f>
        <v>312</v>
      </c>
      <c r="Z91" s="259">
        <v>109</v>
      </c>
      <c r="AA91" s="259">
        <v>174</v>
      </c>
      <c r="AB91" s="260">
        <f>Z91+AA91</f>
        <v>283</v>
      </c>
      <c r="AC91" s="259">
        <v>202</v>
      </c>
      <c r="AD91" s="259">
        <v>137</v>
      </c>
      <c r="AE91" s="260">
        <f>AC91+AD91</f>
        <v>339</v>
      </c>
      <c r="AF91" s="259">
        <v>296</v>
      </c>
      <c r="AG91" s="259">
        <v>135</v>
      </c>
      <c r="AH91" s="260">
        <f>AF91+AG91</f>
        <v>431</v>
      </c>
      <c r="AI91" s="6">
        <v>152</v>
      </c>
      <c r="AJ91" s="6">
        <v>41</v>
      </c>
      <c r="AK91" s="5">
        <f>AJ91+AI91</f>
        <v>193</v>
      </c>
      <c r="AL91" s="6">
        <v>124</v>
      </c>
      <c r="AM91" s="6">
        <v>50</v>
      </c>
      <c r="AN91" s="5">
        <f>AM91+AL91</f>
        <v>174</v>
      </c>
      <c r="AO91" s="6">
        <v>136</v>
      </c>
      <c r="AP91" s="6">
        <v>31</v>
      </c>
      <c r="AQ91" s="5">
        <f>AP91+AO91</f>
        <v>167</v>
      </c>
      <c r="AR91" s="6">
        <v>137</v>
      </c>
      <c r="AS91" s="6">
        <v>38</v>
      </c>
      <c r="AT91" s="5">
        <f>AS91+AR91</f>
        <v>175</v>
      </c>
      <c r="AU91" s="259">
        <f>AI91+AL91+AO91+AR91</f>
        <v>549</v>
      </c>
      <c r="AV91" s="259">
        <f>AJ91+AM91+AP91+AS91</f>
        <v>160</v>
      </c>
      <c r="AW91" s="260">
        <f>AU91+AV91</f>
        <v>709</v>
      </c>
      <c r="AX91" s="277"/>
      <c r="AY91" s="277"/>
      <c r="AZ91" s="259">
        <f>AU91*(1+AX92+0.2)</f>
        <v>759.98823529411766</v>
      </c>
      <c r="BA91" s="259">
        <f>AV91*(1+AY92)</f>
        <v>168</v>
      </c>
      <c r="BB91" s="260">
        <f>AZ91+BA91</f>
        <v>927.98823529411766</v>
      </c>
      <c r="BC91" s="259">
        <f>AZ91*(1+$AX92-0.15)</f>
        <v>786.06626297577861</v>
      </c>
      <c r="BD91" s="259">
        <f>BA91*(1+$AY92)</f>
        <v>176.4</v>
      </c>
      <c r="BE91" s="260">
        <f>BC91+BD91</f>
        <v>962.46626297577859</v>
      </c>
      <c r="BF91" s="259">
        <f>BC91*(1+$AX92-0.14)</f>
        <v>820.8997875703916</v>
      </c>
      <c r="BG91" s="259">
        <f>BD91*(1+$AY92)</f>
        <v>185.22000000000003</v>
      </c>
      <c r="BH91" s="260">
        <f>BF91+BG91</f>
        <v>1006.1197875703916</v>
      </c>
      <c r="BI91" s="259">
        <f>BF91*(1+$AX92-0.14)</f>
        <v>857.27691541174624</v>
      </c>
      <c r="BJ91" s="259">
        <f>BG91*(1+$AY92)</f>
        <v>194.48100000000002</v>
      </c>
      <c r="BK91" s="260">
        <f>BI91+BJ91</f>
        <v>1051.7579154117464</v>
      </c>
      <c r="BL91" s="259">
        <f>BI91*(1+$AX92-0.14)</f>
        <v>895.26604931038446</v>
      </c>
      <c r="BM91" s="259">
        <f>BJ91*(1+$AY92)</f>
        <v>204.20505000000003</v>
      </c>
      <c r="BN91" s="260">
        <f>BL91+BM91</f>
        <v>1099.4710993103845</v>
      </c>
    </row>
    <row r="92" spans="1:66" x14ac:dyDescent="0.35">
      <c r="A92" s="241" t="s">
        <v>28</v>
      </c>
      <c r="E92" s="53"/>
      <c r="F92" s="53"/>
      <c r="G92" s="242"/>
      <c r="H92" s="53">
        <f t="shared" ref="H92" si="1997">IFERROR(H91/E91-1,0)</f>
        <v>0</v>
      </c>
      <c r="I92" s="53">
        <f t="shared" ref="I92" si="1998">IFERROR(I91/F91-1,0)</f>
        <v>-0.16260162601626016</v>
      </c>
      <c r="J92" s="242">
        <f t="shared" ref="J92" si="1999">IFERROR(J91/G91-1,0)</f>
        <v>-0.16260162601626016</v>
      </c>
      <c r="K92" s="53">
        <f>IFERROR(K91/H91-1,0)</f>
        <v>0</v>
      </c>
      <c r="L92" s="53">
        <f t="shared" ref="L92" si="2000">IFERROR(L91/I91-1,0)</f>
        <v>4.8543689320388328E-3</v>
      </c>
      <c r="M92" s="242">
        <f t="shared" ref="M92" si="2001">IFERROR(M91/J91-1,0)</f>
        <v>0.41262135922330101</v>
      </c>
      <c r="N92" s="53">
        <f t="shared" ref="N92" si="2002">IFERROR(N91/K91-1,0)</f>
        <v>-0.2857142857142857</v>
      </c>
      <c r="O92" s="53">
        <f t="shared" ref="O92" si="2003">IFERROR(O91/L91-1,0)</f>
        <v>-8.2125603864734331E-2</v>
      </c>
      <c r="P92" s="242">
        <f t="shared" ref="P92" si="2004">IFERROR(P91/M91-1,0)</f>
        <v>-0.14089347079037806</v>
      </c>
      <c r="Q92" s="53">
        <f t="shared" ref="Q92" si="2005">IFERROR(Q91/N91-1,0)</f>
        <v>0.1333333333333333</v>
      </c>
      <c r="R92" s="53">
        <f t="shared" ref="R92" si="2006">IFERROR(R91/O91-1,0)</f>
        <v>-1.0526315789473717E-2</v>
      </c>
      <c r="S92" s="242">
        <f t="shared" ref="S92" si="2007">IFERROR(S91/P91-1,0)</f>
        <v>2.4000000000000021E-2</v>
      </c>
      <c r="T92" s="53">
        <f t="shared" ref="T92" si="2008">IFERROR(T91/Q91-1,0)</f>
        <v>0.25</v>
      </c>
      <c r="U92" s="53">
        <f t="shared" ref="U92" si="2009">IFERROR(U91/R91-1,0)</f>
        <v>1.0638297872340496E-2</v>
      </c>
      <c r="V92" s="242">
        <f t="shared" ref="V92" si="2010">IFERROR(V91/S91-1,0)</f>
        <v>7.421875E-2</v>
      </c>
      <c r="W92" s="53">
        <f t="shared" ref="W92" si="2011">IFERROR(W91/T91-1,0)</f>
        <v>0.23529411764705888</v>
      </c>
      <c r="X92" s="53">
        <f t="shared" ref="X92" si="2012">IFERROR(X91/U91-1,0)</f>
        <v>8.9473684210526372E-2</v>
      </c>
      <c r="Y92" s="242">
        <f t="shared" ref="Y92" si="2013">IFERROR(Y91/V91-1,0)</f>
        <v>0.13454545454545452</v>
      </c>
      <c r="Z92" s="53">
        <f t="shared" ref="Z92" si="2014">IFERROR(Z91/W91-1,0)</f>
        <v>3.8095238095238182E-2</v>
      </c>
      <c r="AA92" s="53">
        <f t="shared" ref="AA92" si="2015">IFERROR(AA91/X91-1,0)</f>
        <v>-0.15942028985507251</v>
      </c>
      <c r="AB92" s="242">
        <f t="shared" ref="AB92" si="2016">IFERROR(AB91/Y91-1,0)</f>
        <v>-9.2948717948717952E-2</v>
      </c>
      <c r="AC92" s="53">
        <f t="shared" ref="AC92" si="2017">IFERROR(AC91/Z91-1,0)</f>
        <v>0.85321100917431192</v>
      </c>
      <c r="AD92" s="53">
        <f t="shared" ref="AD92" si="2018">IFERROR(AD91/AA91-1,0)</f>
        <v>-0.21264367816091956</v>
      </c>
      <c r="AE92" s="242">
        <f t="shared" ref="AE92" si="2019">IFERROR(AE91/AB91-1,0)</f>
        <v>0.19787985865724389</v>
      </c>
      <c r="AF92" s="53">
        <f t="shared" ref="AF92" si="2020">IFERROR(AF91/AC91-1,0)</f>
        <v>0.46534653465346532</v>
      </c>
      <c r="AG92" s="53">
        <f t="shared" ref="AG92" si="2021">IFERROR(AG91/AD91-1,0)</f>
        <v>-1.4598540145985384E-2</v>
      </c>
      <c r="AH92" s="242">
        <f t="shared" ref="AH92" si="2022">IFERROR(AH91/AE91-1,0)</f>
        <v>0.27138643067846613</v>
      </c>
      <c r="AI92" s="53">
        <f>IFERROR(AI91/AF91-1,0)</f>
        <v>-0.48648648648648651</v>
      </c>
      <c r="AJ92" s="53">
        <f t="shared" ref="AJ92:AK92" si="2023">IFERROR(AJ91/AG91-1,0)</f>
        <v>-0.6962962962962963</v>
      </c>
      <c r="AK92" s="242">
        <f t="shared" si="2023"/>
        <v>-0.55220417633410679</v>
      </c>
      <c r="AL92" s="53">
        <f t="shared" ref="AL92" si="2024">IFERROR(AL91/AI91-1,0)</f>
        <v>-0.18421052631578949</v>
      </c>
      <c r="AM92" s="53">
        <f t="shared" ref="AM92:AN92" si="2025">IFERROR(AM91/AJ91-1,0)</f>
        <v>0.21951219512195119</v>
      </c>
      <c r="AN92" s="242">
        <f t="shared" si="2025"/>
        <v>-9.8445595854922296E-2</v>
      </c>
      <c r="AO92" s="53">
        <f t="shared" ref="AO92" si="2026">IFERROR(AO91/AL91-1,0)</f>
        <v>9.6774193548387011E-2</v>
      </c>
      <c r="AP92" s="53">
        <f t="shared" ref="AP92" si="2027">IFERROR(AP91/AM91-1,0)</f>
        <v>-0.38</v>
      </c>
      <c r="AQ92" s="242">
        <f t="shared" ref="AQ92:AT92" si="2028">IFERROR(AQ91/AN91-1,0)</f>
        <v>-4.0229885057471271E-2</v>
      </c>
      <c r="AR92" s="53">
        <f t="shared" ref="AR92" si="2029">IFERROR(AR91/AO91-1,0)</f>
        <v>7.3529411764705621E-3</v>
      </c>
      <c r="AS92" s="53">
        <f t="shared" si="2028"/>
        <v>0.22580645161290325</v>
      </c>
      <c r="AT92" s="242">
        <f t="shared" si="2028"/>
        <v>4.7904191616766401E-2</v>
      </c>
      <c r="AU92" s="283">
        <f>IFERROR(AU91/AF91-1,0)</f>
        <v>0.85472972972972983</v>
      </c>
      <c r="AV92" s="283">
        <f t="shared" ref="AV92" si="2030">IFERROR(AV91/AG91-1,0)</f>
        <v>0.18518518518518512</v>
      </c>
      <c r="AW92" s="242">
        <f>IFERROR(AW91/AH91-1,0)</f>
        <v>0.64501160092807419</v>
      </c>
      <c r="AX92" s="210">
        <f>MEDIAN(Q92,T92,W92,Z92,AC92,AF92,AU92,N92,K92,H92)</f>
        <v>0.18431372549019609</v>
      </c>
      <c r="AY92" s="210">
        <v>0.05</v>
      </c>
      <c r="AZ92" s="52"/>
      <c r="BA92" s="52"/>
      <c r="BB92" s="187"/>
      <c r="BC92" s="52"/>
      <c r="BD92" s="52"/>
      <c r="BE92" s="187"/>
      <c r="BF92" s="52"/>
      <c r="BG92" s="52"/>
      <c r="BH92" s="187"/>
      <c r="BI92" s="52"/>
      <c r="BJ92" s="52"/>
      <c r="BK92" s="187"/>
      <c r="BL92" s="52"/>
      <c r="BM92" s="52"/>
      <c r="BN92" s="187"/>
    </row>
    <row r="93" spans="1:66" x14ac:dyDescent="0.35">
      <c r="A93" s="244" t="s">
        <v>29</v>
      </c>
      <c r="E93" s="236"/>
      <c r="F93" s="236"/>
      <c r="G93" s="240"/>
      <c r="H93" s="247">
        <f>H92</f>
        <v>0</v>
      </c>
      <c r="I93" s="247">
        <f t="shared" ref="I93" si="2031">I92</f>
        <v>-0.16260162601626016</v>
      </c>
      <c r="J93" s="248">
        <f t="shared" ref="J93" si="2032">J92</f>
        <v>-0.16260162601626016</v>
      </c>
      <c r="K93" s="247">
        <f t="shared" ref="K93" si="2033">K92</f>
        <v>0</v>
      </c>
      <c r="L93" s="247">
        <f t="shared" ref="L93" si="2034">L92</f>
        <v>4.8543689320388328E-3</v>
      </c>
      <c r="M93" s="248">
        <f t="shared" ref="M93" si="2035">M92</f>
        <v>0.41262135922330101</v>
      </c>
      <c r="N93" s="247">
        <f t="shared" ref="N93" si="2036">N92</f>
        <v>-0.2857142857142857</v>
      </c>
      <c r="O93" s="247">
        <f t="shared" ref="O93" si="2037">O92</f>
        <v>-8.2125603864734331E-2</v>
      </c>
      <c r="P93" s="248">
        <f t="shared" ref="P93" si="2038">P92</f>
        <v>-0.14089347079037806</v>
      </c>
      <c r="Q93" s="247">
        <f t="shared" ref="Q93" si="2039">Q92</f>
        <v>0.1333333333333333</v>
      </c>
      <c r="R93" s="247">
        <f t="shared" ref="R93" si="2040">R92</f>
        <v>-1.0526315789473717E-2</v>
      </c>
      <c r="S93" s="248">
        <f t="shared" ref="S93" si="2041">S92</f>
        <v>2.4000000000000021E-2</v>
      </c>
      <c r="T93" s="247">
        <f t="shared" ref="T93" si="2042">T92</f>
        <v>0.25</v>
      </c>
      <c r="U93" s="247">
        <f t="shared" ref="U93" si="2043">U92</f>
        <v>1.0638297872340496E-2</v>
      </c>
      <c r="V93" s="248">
        <f t="shared" ref="V93" si="2044">V92</f>
        <v>7.421875E-2</v>
      </c>
      <c r="W93" s="247">
        <f t="shared" ref="W93" si="2045">W92</f>
        <v>0.23529411764705888</v>
      </c>
      <c r="X93" s="247">
        <f t="shared" ref="X93" si="2046">X92</f>
        <v>8.9473684210526372E-2</v>
      </c>
      <c r="Y93" s="248">
        <f t="shared" ref="Y93" si="2047">Y92</f>
        <v>0.13454545454545452</v>
      </c>
      <c r="Z93" s="247">
        <f t="shared" ref="Z93" si="2048">Z92</f>
        <v>3.8095238095238182E-2</v>
      </c>
      <c r="AA93" s="247">
        <f t="shared" ref="AA93" si="2049">AA92</f>
        <v>-0.15942028985507251</v>
      </c>
      <c r="AB93" s="248">
        <f t="shared" ref="AB93" si="2050">AB92</f>
        <v>-9.2948717948717952E-2</v>
      </c>
      <c r="AC93" s="247">
        <f t="shared" ref="AC93" si="2051">AC92</f>
        <v>0.85321100917431192</v>
      </c>
      <c r="AD93" s="247">
        <f t="shared" ref="AD93" si="2052">AD92</f>
        <v>-0.21264367816091956</v>
      </c>
      <c r="AE93" s="248">
        <f t="shared" ref="AE93" si="2053">AE92</f>
        <v>0.19787985865724389</v>
      </c>
      <c r="AF93" s="247">
        <f t="shared" ref="AF93" si="2054">AF92</f>
        <v>0.46534653465346532</v>
      </c>
      <c r="AG93" s="247">
        <f t="shared" ref="AG93" si="2055">AG92</f>
        <v>-1.4598540145985384E-2</v>
      </c>
      <c r="AH93" s="248">
        <f t="shared" ref="AH93" si="2056">AH92</f>
        <v>0.27138643067846613</v>
      </c>
      <c r="AI93" s="249">
        <f>AI92</f>
        <v>-0.48648648648648651</v>
      </c>
      <c r="AJ93" s="249">
        <f t="shared" ref="AJ93" si="2057">AJ92</f>
        <v>-0.6962962962962963</v>
      </c>
      <c r="AK93" s="249">
        <f t="shared" ref="AK93" si="2058">AK92</f>
        <v>-0.55220417633410679</v>
      </c>
      <c r="AL93" s="249">
        <f t="shared" ref="AL93" si="2059">AL92</f>
        <v>-0.18421052631578949</v>
      </c>
      <c r="AM93" s="249">
        <f t="shared" ref="AM93" si="2060">AM92</f>
        <v>0.21951219512195119</v>
      </c>
      <c r="AN93" s="249">
        <f t="shared" ref="AN93" si="2061">AN92</f>
        <v>-9.8445595854922296E-2</v>
      </c>
      <c r="AO93" s="249">
        <f t="shared" ref="AO93" si="2062">AO92</f>
        <v>9.6774193548387011E-2</v>
      </c>
      <c r="AP93" s="249">
        <f t="shared" ref="AP93" si="2063">AP92</f>
        <v>-0.38</v>
      </c>
      <c r="AQ93" s="249">
        <f t="shared" ref="AQ93" si="2064">AQ92</f>
        <v>-4.0229885057471271E-2</v>
      </c>
      <c r="AR93" s="249">
        <f t="shared" ref="AR93" si="2065">AR92</f>
        <v>7.3529411764705621E-3</v>
      </c>
      <c r="AS93" s="249">
        <f t="shared" ref="AS93" si="2066">AS92</f>
        <v>0.22580645161290325</v>
      </c>
      <c r="AT93" s="249">
        <f t="shared" ref="AT93" si="2067">AT92</f>
        <v>4.7904191616766401E-2</v>
      </c>
      <c r="AU93" s="250">
        <f>AU92</f>
        <v>0.85472972972972983</v>
      </c>
      <c r="AV93" s="250">
        <f t="shared" ref="AV93" si="2068">AV92</f>
        <v>0.18518518518518512</v>
      </c>
      <c r="AW93" s="248">
        <f t="shared" ref="AW93" si="2069">AW92</f>
        <v>0.64501160092807419</v>
      </c>
      <c r="AX93" s="278"/>
      <c r="AY93" s="278"/>
      <c r="AZ93" s="52"/>
      <c r="BA93" s="52"/>
      <c r="BB93" s="187"/>
      <c r="BC93" s="52"/>
      <c r="BD93" s="52"/>
      <c r="BE93" s="187"/>
      <c r="BF93" s="52"/>
      <c r="BG93" s="52"/>
      <c r="BH93" s="187"/>
      <c r="BI93" s="52"/>
      <c r="BJ93" s="52"/>
      <c r="BK93" s="187"/>
      <c r="BL93" s="52"/>
      <c r="BM93" s="52"/>
      <c r="BN93" s="187"/>
    </row>
    <row r="94" spans="1:66" x14ac:dyDescent="0.35">
      <c r="A94" s="2" t="s">
        <v>75</v>
      </c>
      <c r="B94" s="2"/>
      <c r="C94" s="2"/>
      <c r="D94" s="2"/>
      <c r="E94" s="259">
        <f>E7+E10+E13+E16+E19+E22+E25+E28+E31+E34+E37+E40+E43+E46+E49+E52+E55+E58+E61+E64+E67+E70+E73+E88+E91</f>
        <v>14045</v>
      </c>
      <c r="F94" s="259">
        <f>F7+F10+F13+F16+F19+F22+F25+F28+F31+F34+F37+F40+F43+F46+F49+F52+F55+F58+F61+F64+F67+F70+F73+F88+F91</f>
        <v>4147</v>
      </c>
      <c r="G94" s="2"/>
      <c r="H94" s="259">
        <f>H7+H10+H13+H16+H19+H22+H25+H28+H31+H34+H37+H40+H43+H46+H49+H52+H55+H58+H61+H64+H67+H70+H73+H88+H91</f>
        <v>14732</v>
      </c>
      <c r="I94" s="259">
        <f>I7+I10+I13+I16+I19+I22+I25+I28+I31+I34+I37+I40+I43+I46+I49+I52+I55+I58+I61+I64+I67+I70+I73+I88+I91</f>
        <v>4595</v>
      </c>
      <c r="J94" s="2"/>
      <c r="K94" s="259">
        <f>K7+K10+K13+K16+K19+K22+K25+K28+K31+K34+K37+K40+K43+K46+K49+K52+K55+K58+K61+K64+K67+K70+K73+K88+K91</f>
        <v>16523</v>
      </c>
      <c r="L94" s="259">
        <f>L7+L10+L13+L16+L19+L22+L25+L28+L31+L34+L37+L40+L43+L46+L49+L52+L55+L58+L61+L64+L67+L70+L73+L88+L91</f>
        <v>4421</v>
      </c>
      <c r="M94" s="2"/>
      <c r="N94" s="259">
        <f>N7+N10+N13+N16+N19+N22+N25+N28+N31+N34+N37+N40+N43+N46+N49+N52+N55+N58+N61+N64+N67+N70+N73+N88+N91</f>
        <v>17325</v>
      </c>
      <c r="O94" s="259">
        <f>O7+O10+O13+O16+O19+O22+O25+O28+O31+O34+O37+O40+O43+O46+O49+O52+O55+O58+O61+O64+O67+O70+O73+O88+O91</f>
        <v>4567</v>
      </c>
      <c r="P94" s="2"/>
      <c r="Q94" s="259">
        <f>Q7+Q10+Q13+Q16+Q19+Q22+Q25+Q28+Q31+Q34+Q37+Q40+Q43+Q46+Q49+Q52+Q55+Q58+Q61+Q64+Q67+Q70+Q73+Q88+Q91</f>
        <v>17131</v>
      </c>
      <c r="R94" s="259">
        <f>R7+R10+R13+R16+R19+R22+R25+R28+R31+R34+R37+R40+R43+R46+R49+R52+R55+R58+R61+R64+R67+R70+R73+R88+R91</f>
        <v>4664</v>
      </c>
      <c r="S94" s="2"/>
      <c r="T94" s="259">
        <f>T7+T10+T13+T16+T19+T22+T25+T28+T31+T34+T37+T40+T43+T46+T49+T52+T55+T58+T61+T64+T67+T70+T73+T88+T91</f>
        <v>17429</v>
      </c>
      <c r="U94" s="259">
        <f>U7+U10+U13+U16+U19+U22+U25+U28+U31+U34+U37+U40+U43+U46+U49+U52+U55+U58+U61+U64+U67+U70+U73+U88+U91</f>
        <v>5104</v>
      </c>
      <c r="V94" s="2"/>
      <c r="W94" s="259">
        <f>W7+W10+W13+W16+W19+W22+W25+W28+W31+W34+W37+W40+W43+W46+W49+W52+W55+W58+W61+W64+W67+W70+W73+W88+W91</f>
        <v>16531</v>
      </c>
      <c r="X94" s="259">
        <f>X7+X10+X13+X16+X19+X22+X25+X28+X31+X34+X37+X40+X43+X46+X49+X52+X55+X58+X61+X64+X67+X70+X73+X88+X91</f>
        <v>5673</v>
      </c>
      <c r="Y94" s="2"/>
      <c r="Z94" s="259">
        <f>Z7+Z10+Z13+Z16+Z19+Z22+Z25+Z28+Z31+Z34+Z37+Z40+Z43+Z46+Z49+Z52+Z55+Z58+Z61+Z64+Z67+Z70+Z73+Z88+Z91</f>
        <v>17985</v>
      </c>
      <c r="AA94" s="259">
        <f>AA7+AA10+AA13+AA16+AA19+AA22+AA25+AA28+AA31+AA34+AA37+AA40+AA43+AA46+AA49+AA52+AA55+AA58+AA61+AA64+AA67+AA70+AA73+AA88+AA91</f>
        <v>6255</v>
      </c>
      <c r="AB94" s="2"/>
      <c r="AC94" s="259">
        <f>AC7+AC10+AC13+AC16+AC19+AC22+AC25+AC28+AC31+AC34+AC37+AC40+AC43+AC46+AC49+AC52+AC55+AC58+AC61+AC64+AC67+AC70+AC73+AC88+AC91</f>
        <v>17286</v>
      </c>
      <c r="AD94" s="259">
        <f>AD7+AD10+AD13+AD16+AD19+AD22+AD25+AD28+AD31+AD34+AD37+AD40+AD43+AD46+AD49+AD52+AD55+AD58+AD61+AD64+AD67+AD70+AD73+AD88+AD91</f>
        <v>7011</v>
      </c>
      <c r="AE94" s="2"/>
      <c r="AF94" s="259">
        <f>AF7+AF10+AF13+AF16+AF19+AF22+AF25+AF28+AF31+AF34+AF37+AF40+AF43+AF46+AF49+AF52+AF55+AF58+AF61+AF64+AF67+AF70+AF73+AF88+AF91</f>
        <v>17743</v>
      </c>
      <c r="AG94" s="259">
        <f>AG7+AG10+AG13+AG16+AG19+AG22+AG25+AG28+AG31+AG34+AG37+AG40+AG43+AG46+AG49+AG52+AG55+AG58+AG61+AG64+AG67+AG70+AG73+AG88+AG91</f>
        <v>7058</v>
      </c>
      <c r="AH94" s="2"/>
      <c r="AI94" s="259">
        <f>AI7+AI10+AI13+AI16+AI19+AI22+AI25+AI28+AI31+AI34+AI37+AI40+AI43+AI46+AI49+AI52+AI55+AI58+AI61+AI64+AI67+AI70+AI73+AI88+AI91</f>
        <v>3975</v>
      </c>
      <c r="AJ94" s="259">
        <f>AJ7+AJ10+AJ13+AJ16+AJ19+AJ22+AJ25+AJ28+AJ31+AJ34+AJ37+AJ40+AJ43+AJ46+AJ49+AJ52+AJ55+AJ58+AJ61+AJ64+AJ67+AJ70+AJ73+AJ88+AJ91</f>
        <v>1871</v>
      </c>
      <c r="AK94" s="6"/>
      <c r="AL94" s="259">
        <f>AL7+AL10+AL13+AL16+AL19+AL22+AL25+AL28+AL31+AL34+AL37+AL40+AL43+AL46+AL49+AL52+AL55+AL58+AL61+AL64+AL67+AL70+AL73+AL88+AL91</f>
        <v>4736</v>
      </c>
      <c r="AM94" s="259">
        <f>AM7+AM10+AM13+AM16+AM19+AM22+AM25+AM28+AM31+AM34+AM37+AM40+AM43+AM46+AM49+AM52+AM55+AM58+AM61+AM64+AM67+AM70+AM73+AM88+AM91</f>
        <v>1947</v>
      </c>
      <c r="AN94" s="6"/>
      <c r="AO94" s="259">
        <f>AO7+AO10+AO13+AO16+AO19+AO22+AO25+AO28+AO31+AO34+AO37+AO40+AO43+AO46+AO49+AO52+AO55+AO58+AO61+AO64+AO67+AO70+AO73+AO88+AO91</f>
        <v>4691</v>
      </c>
      <c r="AP94" s="259">
        <f>AP7+AP10+AP13+AP16+AP19+AP22+AP25+AP28+AP31+AP34+AP37+AP40+AP43+AP46+AP49+AP52+AP55+AP58+AP61+AP64+AP67+AP70+AP73+AP88+AP91</f>
        <v>1857</v>
      </c>
      <c r="AQ94" s="6"/>
      <c r="AR94" s="259">
        <f>AR7+AR10+AR13+AR16+AR19+AR22+AR25+AR28+AR31+AR34+AR37+AR40+AR43+AR46+AR49+AR52+AR55+AR58+AR61+AR64+AR67+AR70+AR73+AR88+AR91+AR85+AR82+AR79+AR76</f>
        <v>5870</v>
      </c>
      <c r="AS94" s="259">
        <f>AS7+AS10+AS13+AS16+AS19+AS22+AS25+AS28+AS31+AS34+AS37+AS40+AS43+AS46+AS49+AS52+AS55+AS58+AS61+AS64+AS67+AS70+AS73+AS88+AS91+AS85+AS82+AS79+AS76</f>
        <v>1963</v>
      </c>
      <c r="AT94" s="6"/>
      <c r="AU94" s="259">
        <f>AU7+AU10+AU13+AU16+AU19+AU22+AU25+AU28+AU31+AU34+AU37+AU40+AU43+AU46+AU49+AU52+AU55+AU58+AU61+AU64+AU67+AU70+AU73+AU88+AU91+AU85+AU82+AU79+AU76</f>
        <v>19272</v>
      </c>
      <c r="AV94" s="259">
        <f>AV7+AV10+AV13+AV16+AV19+AV22+AV25+AV28+AV31+AV34+AV37+AV40+AV43+AV46+AV49+AV52+AV55+AV58+AV61+AV64+AV67+AV70+AV73+AV88+AV91+AV85+AV82+AV79+AV76</f>
        <v>7638</v>
      </c>
      <c r="AW94" s="2"/>
      <c r="AX94" s="130"/>
      <c r="AY94" s="130"/>
      <c r="AZ94" s="259">
        <f>AZ7+AZ10+AZ13+AZ16+AZ19+AZ22+AZ25+AZ28+AZ31+AZ34+AZ37+AZ40+AZ43+AZ46+AZ49+AZ52+AZ55+AZ58+AZ61+AZ64+AZ67+AZ70+AZ73+AZ88+AZ91+AZ85+AZ82+AZ79+AZ76</f>
        <v>21967.331987914695</v>
      </c>
      <c r="BA94" s="259">
        <f>BA7+BA10+BA13+BA16+BA19+BA22+BA25+BA28+BA31+BA34+BA37+BA40+BA43+BA46+BA49+BA52+BA55+BA58+BA61+BA64+BA67+BA70+BA73+BA88+BA91+BA85+BA82+BA79+BA76</f>
        <v>8559.2337464414359</v>
      </c>
      <c r="BB94" s="6"/>
      <c r="BC94" s="259">
        <f>BC7+BC10+BC13+BC16+BC19+BC22+BC25+BC28+BC31+BC34+BC37+BC40+BC43+BC46+BC49+BC52+BC55+BC58+BC61+BC64+BC67+BC70+BC73+BC88+BC91+BC85+BC82+BC79+BC76</f>
        <v>22760.474135678505</v>
      </c>
      <c r="BD94" s="259">
        <f>BD7+BD10+BD13+BD16+BD19+BD22+BD25+BD28+BD31+BD34+BD37+BD40+BD43+BD46+BD49+BD52+BD55+BD58+BD61+BD64+BD67+BD70+BD73+BD88+BD91+BD85+BD82+BD79+BD76</f>
        <v>9217.8472500584739</v>
      </c>
      <c r="BE94" s="6"/>
      <c r="BF94" s="259">
        <f>BF7+BF10+BF13+BF16+BF19+BF22+BF25+BF28+BF31+BF34+BF37+BF40+BF43+BF46+BF49+BF52+BF55+BF58+BF61+BF64+BF67+BF70+BF73+BF88+BF91+BF85+BF82+BF79+BF76</f>
        <v>23521.140799970479</v>
      </c>
      <c r="BG94" s="259">
        <f>BG7+BG10+BG13+BG16+BG19+BG22+BG25+BG28+BG31+BG34+BG37+BG40+BG43+BG46+BG49+BG52+BG55+BG58+BG61+BG64+BG67+BG70+BG73+BG88+BG91+BG85+BG82+BG79+BG76</f>
        <v>9919.260284202117</v>
      </c>
      <c r="BH94" s="6"/>
      <c r="BI94" s="259">
        <f>BI7+BI10+BI13+BI16+BI19+BI22+BI25+BI28+BI31+BI34+BI37+BI40+BI43+BI46+BI49+BI52+BI55+BI58+BI61+BI64+BI67+BI70+BI73+BI88+BI91+BI85+BI82+BI79+BI76</f>
        <v>23943.212299264949</v>
      </c>
      <c r="BJ94" s="259">
        <f>BJ7+BJ10+BJ13+BJ16+BJ19+BJ22+BJ25+BJ28+BJ31+BJ34+BJ37+BJ40+BJ43+BJ46+BJ49+BJ52+BJ55+BJ58+BJ61+BJ64+BJ67+BJ70+BJ73+BJ88+BJ91+BJ85+BJ82+BJ79+BJ76</f>
        <v>10587.260654963171</v>
      </c>
      <c r="BK94" s="6"/>
      <c r="BL94" s="259">
        <f>BL7+BL10+BL13+BL16+BL19+BL22+BL25+BL28+BL31+BL34+BL37+BL40+BL43+BL46+BL49+BL52+BL55+BL58+BL61+BL64+BL67+BL70+BL73+BL88+BL91+BL85+BL82+BL79+BL76</f>
        <v>24630.581446806285</v>
      </c>
      <c r="BM94" s="259">
        <f>BM7+BM10+BM13+BM16+BM19+BM22+BM25+BM28+BM31+BM34+BM37+BM40+BM43+BM46+BM49+BM52+BM55+BM58+BM61+BM64+BM67+BM70+BM73+BM88+BM91+BM85+BM82+BM79+BM76</f>
        <v>11149.470151926556</v>
      </c>
      <c r="BN94" s="6"/>
    </row>
    <row r="95" spans="1:66" x14ac:dyDescent="0.35">
      <c r="A95" s="2" t="s">
        <v>208</v>
      </c>
      <c r="B95" s="2"/>
      <c r="C95" s="2"/>
      <c r="D95" s="2"/>
      <c r="E95" s="259"/>
      <c r="F95" s="259"/>
      <c r="G95" s="6"/>
      <c r="H95" s="267">
        <f>H94/E94-1</f>
        <v>4.8914204343182721E-2</v>
      </c>
      <c r="I95" s="267">
        <f>I94/F94-1</f>
        <v>0.10802990113334943</v>
      </c>
      <c r="J95" s="267"/>
      <c r="K95" s="267">
        <f>K94/H94-1</f>
        <v>0.12157208797176211</v>
      </c>
      <c r="L95" s="267">
        <f>L94/I94-1</f>
        <v>-3.7867247007617011E-2</v>
      </c>
      <c r="M95" s="267"/>
      <c r="N95" s="267">
        <f>N94/K94-1</f>
        <v>4.8538401016764432E-2</v>
      </c>
      <c r="O95" s="267">
        <f>O94/L94-1</f>
        <v>3.3024202669079461E-2</v>
      </c>
      <c r="P95" s="267"/>
      <c r="Q95" s="267">
        <f>Q94/N94-1</f>
        <v>-1.1197691197691206E-2</v>
      </c>
      <c r="R95" s="267">
        <f>R94/O94-1</f>
        <v>2.1239325596671854E-2</v>
      </c>
      <c r="S95" s="267"/>
      <c r="T95" s="267">
        <f>T94/Q94-1</f>
        <v>1.7395365127546469E-2</v>
      </c>
      <c r="U95" s="267">
        <f>U94/R94-1</f>
        <v>9.4339622641509413E-2</v>
      </c>
      <c r="V95" s="267"/>
      <c r="W95" s="267">
        <f>W94/T94-1</f>
        <v>-5.1523323196970616E-2</v>
      </c>
      <c r="X95" s="267">
        <f>X94/U94-1</f>
        <v>0.11148119122257061</v>
      </c>
      <c r="Y95" s="267"/>
      <c r="Z95" s="267">
        <f>Z94/W94-1</f>
        <v>8.7955961526828386E-2</v>
      </c>
      <c r="AA95" s="267">
        <f>AA94/X94-1</f>
        <v>0.10259122157588574</v>
      </c>
      <c r="AB95" s="267"/>
      <c r="AC95" s="267">
        <f>AC94/Z94-1</f>
        <v>-3.8865721434528822E-2</v>
      </c>
      <c r="AD95" s="267">
        <f>AD94/AA94-1</f>
        <v>0.12086330935251799</v>
      </c>
      <c r="AE95" s="267"/>
      <c r="AF95" s="267">
        <f>AF94/AC94-1</f>
        <v>2.6437579544139833E-2</v>
      </c>
      <c r="AG95" s="267">
        <f>AG94/AD94-1</f>
        <v>6.7037512480387917E-3</v>
      </c>
      <c r="AH95" s="267"/>
      <c r="AI95" s="267"/>
      <c r="AJ95" s="267"/>
      <c r="AK95" s="267"/>
      <c r="AL95" s="268">
        <f>SUM(AL94:AM94)/SUM(AI94:AJ94)-1</f>
        <v>0.14317482039001028</v>
      </c>
      <c r="AM95" s="268"/>
      <c r="AN95" s="268"/>
      <c r="AO95" s="268">
        <f>SUM(AO94:AP94)/SUM(AL94:AM94)-1</f>
        <v>-2.0200508753553836E-2</v>
      </c>
      <c r="AP95" s="268"/>
      <c r="AQ95" s="268"/>
      <c r="AR95" s="268">
        <f>SUM(AR94:AS94)/SUM(AO94:AP94)-1</f>
        <v>0.19624312767257179</v>
      </c>
      <c r="AS95" s="267"/>
      <c r="AT95" s="267"/>
      <c r="AU95" s="267">
        <f>AU94/AF94-1</f>
        <v>8.6174829510229367E-2</v>
      </c>
      <c r="AV95" s="267">
        <f>AV94/AG94-1</f>
        <v>8.2176253896287799E-2</v>
      </c>
      <c r="AW95" s="6"/>
      <c r="AX95" s="279">
        <f>AVERAGE(W95,Z95,AC95,AF95,AU95,T95,Q95,N95,K95,H95)</f>
        <v>3.3540169321126266E-2</v>
      </c>
      <c r="AY95" s="279">
        <f>AVERAGE(X95,AA95,AD95,AG95,AV95,U95,R95)</f>
        <v>7.7056382219068881E-2</v>
      </c>
      <c r="AZ95" s="259">
        <f>AU94*(1+AX95)</f>
        <v>19918.386143156746</v>
      </c>
      <c r="BA95" s="259">
        <f>AV94*(1+AY95)</f>
        <v>8226.5566473892486</v>
      </c>
      <c r="BB95" s="6"/>
      <c r="BC95" s="259">
        <f>AZ95*(1+$AX$95)</f>
        <v>20586.4521870018</v>
      </c>
      <c r="BD95" s="259">
        <f>BA95*(1+$AY$95)</f>
        <v>8860.4653407572969</v>
      </c>
      <c r="BE95" s="6"/>
      <c r="BF95" s="259">
        <f>BC95*(1+$AX$95)</f>
        <v>21276.925279075112</v>
      </c>
      <c r="BG95" s="259">
        <f>BD95*(1+$AY$95)</f>
        <v>9543.2207446935026</v>
      </c>
      <c r="BH95" s="6"/>
      <c r="BI95" s="259">
        <f>BF95*(1+$AX$95)</f>
        <v>21990.556955568245</v>
      </c>
      <c r="BJ95" s="259">
        <f>BG95*(1+$AY$95)</f>
        <v>10278.586809997552</v>
      </c>
      <c r="BK95" s="6"/>
      <c r="BL95" s="259">
        <f>BI95*(1+$AX$95)</f>
        <v>22728.123959323875</v>
      </c>
      <c r="BM95" s="259">
        <f>BJ95*(1+$AY$95)</f>
        <v>11070.617523900602</v>
      </c>
      <c r="BN95" s="6"/>
    </row>
    <row r="96" spans="1:66" x14ac:dyDescent="0.35">
      <c r="AX96" s="130"/>
      <c r="AY96" s="130"/>
      <c r="AZ96" s="236"/>
      <c r="BA96" s="236"/>
      <c r="BB96" s="52"/>
      <c r="BC96" s="236"/>
      <c r="BD96" s="236"/>
      <c r="BE96" s="52"/>
      <c r="BF96" s="236"/>
      <c r="BG96" s="236"/>
      <c r="BH96" s="52"/>
      <c r="BI96" s="236"/>
      <c r="BJ96" s="236"/>
      <c r="BK96" s="52"/>
      <c r="BL96" s="236"/>
      <c r="BM96" s="236"/>
      <c r="BN96" s="52"/>
    </row>
    <row r="97" spans="1:66" x14ac:dyDescent="0.35">
      <c r="A97" s="269" t="s">
        <v>76</v>
      </c>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70">
        <f>SUM(AL94:AM94)/SUM(AI94:AJ94)-1</f>
        <v>0.14317482039001028</v>
      </c>
      <c r="AM97" s="270"/>
      <c r="AN97" s="270"/>
      <c r="AO97" s="270">
        <f>SUM(AO94:AP94)/SUM(AL94:AM94)-1</f>
        <v>-2.0200508753553836E-2</v>
      </c>
      <c r="AP97" s="270"/>
      <c r="AQ97" s="270"/>
      <c r="AR97" s="270">
        <f>SUM(AR94:AS94)/SUM(AO94:AP94)-1</f>
        <v>0.19624312767257179</v>
      </c>
      <c r="AS97" s="2"/>
      <c r="AT97" s="2"/>
      <c r="AU97" s="2"/>
      <c r="AV97" s="2"/>
      <c r="AW97" s="2"/>
      <c r="AX97" s="130"/>
      <c r="AY97" s="130"/>
      <c r="AZ97" s="6"/>
      <c r="BA97" s="6"/>
      <c r="BB97" s="6"/>
      <c r="BC97" s="6"/>
      <c r="BD97" s="6"/>
      <c r="BE97" s="6"/>
      <c r="BF97" s="6"/>
      <c r="BG97" s="6"/>
      <c r="BH97" s="6"/>
      <c r="BI97" s="6"/>
      <c r="BJ97" s="6"/>
      <c r="BK97" s="6"/>
      <c r="BL97" s="6"/>
      <c r="BM97" s="6"/>
      <c r="BN97" s="6"/>
    </row>
    <row r="98" spans="1:66" ht="18.5" x14ac:dyDescent="0.45">
      <c r="A98" s="158" t="s">
        <v>44</v>
      </c>
      <c r="B98" s="158"/>
      <c r="C98" s="158"/>
      <c r="D98" s="158"/>
      <c r="E98" s="471">
        <f>E94+F94</f>
        <v>18192</v>
      </c>
      <c r="F98" s="471"/>
      <c r="G98" s="471"/>
      <c r="H98" s="471">
        <f>H94+I94</f>
        <v>19327</v>
      </c>
      <c r="I98" s="471"/>
      <c r="J98" s="471"/>
      <c r="K98" s="471">
        <f>K94+L94</f>
        <v>20944</v>
      </c>
      <c r="L98" s="471"/>
      <c r="M98" s="471"/>
      <c r="N98" s="471">
        <f>N94+O94</f>
        <v>21892</v>
      </c>
      <c r="O98" s="471"/>
      <c r="P98" s="471"/>
      <c r="Q98" s="471">
        <f>Q94+R94</f>
        <v>21795</v>
      </c>
      <c r="R98" s="471"/>
      <c r="S98" s="471"/>
      <c r="T98" s="471">
        <f>T94+U94</f>
        <v>22533</v>
      </c>
      <c r="U98" s="471"/>
      <c r="V98" s="471"/>
      <c r="W98" s="471">
        <f>W94+X94</f>
        <v>22204</v>
      </c>
      <c r="X98" s="471"/>
      <c r="Y98" s="471"/>
      <c r="Z98" s="471">
        <f>Z94+AA94</f>
        <v>24240</v>
      </c>
      <c r="AA98" s="471"/>
      <c r="AB98" s="471"/>
      <c r="AC98" s="471">
        <f>AC94+AD94</f>
        <v>24297</v>
      </c>
      <c r="AD98" s="471"/>
      <c r="AE98" s="471"/>
      <c r="AF98" s="471">
        <f>AF94+AG94</f>
        <v>24801</v>
      </c>
      <c r="AG98" s="471"/>
      <c r="AH98" s="471"/>
      <c r="AI98" s="471">
        <f>AI94+AJ94+AL94+AM94+AO94+AP94+AR94+AS94</f>
        <v>26910</v>
      </c>
      <c r="AJ98" s="486"/>
      <c r="AK98" s="486"/>
      <c r="AL98" s="486"/>
      <c r="AM98" s="486"/>
      <c r="AN98" s="486"/>
      <c r="AO98" s="486"/>
      <c r="AP98" s="486"/>
      <c r="AQ98" s="486"/>
      <c r="AR98" s="486"/>
      <c r="AS98" s="486"/>
      <c r="AT98" s="486"/>
      <c r="AU98" s="471">
        <f>AU94+AV94</f>
        <v>26910</v>
      </c>
      <c r="AV98" s="486"/>
      <c r="AW98" s="486"/>
      <c r="AX98" s="491"/>
      <c r="AY98" s="492"/>
      <c r="AZ98" s="471">
        <f>AZ94+BA94</f>
        <v>30526.565734356132</v>
      </c>
      <c r="BA98" s="471"/>
      <c r="BB98" s="471"/>
      <c r="BC98" s="471">
        <f>BC94+BD94</f>
        <v>31978.321385736977</v>
      </c>
      <c r="BD98" s="471"/>
      <c r="BE98" s="471"/>
      <c r="BF98" s="471">
        <f>BF94+BG94</f>
        <v>33440.401084172598</v>
      </c>
      <c r="BG98" s="471"/>
      <c r="BH98" s="471"/>
      <c r="BI98" s="471">
        <f>BI94+BJ94</f>
        <v>34530.47295422812</v>
      </c>
      <c r="BJ98" s="471"/>
      <c r="BK98" s="471"/>
      <c r="BL98" s="471">
        <f>BL94+BM94</f>
        <v>35780.05159873284</v>
      </c>
      <c r="BM98" s="471"/>
      <c r="BN98" s="471"/>
    </row>
    <row r="99" spans="1:66" x14ac:dyDescent="0.35">
      <c r="A99" s="271" t="s">
        <v>49</v>
      </c>
      <c r="B99" s="271"/>
      <c r="C99" s="271"/>
      <c r="D99" s="271"/>
      <c r="E99" s="272"/>
      <c r="F99" s="272"/>
      <c r="G99" s="272"/>
      <c r="H99" s="272"/>
      <c r="I99" s="273">
        <f>H98/E98-1</f>
        <v>6.2390061565523292E-2</v>
      </c>
      <c r="J99" s="273"/>
      <c r="K99" s="273"/>
      <c r="L99" s="273">
        <f>K98/H98-1</f>
        <v>8.3665338645418252E-2</v>
      </c>
      <c r="M99" s="273"/>
      <c r="N99" s="273"/>
      <c r="O99" s="273">
        <f>N98/K98-1</f>
        <v>4.5263559969442424E-2</v>
      </c>
      <c r="P99" s="273"/>
      <c r="Q99" s="273"/>
      <c r="R99" s="273">
        <f>Q98/N98-1</f>
        <v>-4.4308423168281097E-3</v>
      </c>
      <c r="S99" s="273"/>
      <c r="T99" s="273"/>
      <c r="U99" s="273">
        <f>T98/Q98-1</f>
        <v>3.3860977288368899E-2</v>
      </c>
      <c r="V99" s="273"/>
      <c r="W99" s="273"/>
      <c r="X99" s="273">
        <f>W98/T98-1</f>
        <v>-1.460080770425598E-2</v>
      </c>
      <c r="Y99" s="273"/>
      <c r="Z99" s="273"/>
      <c r="AA99" s="273">
        <f>Z98/W98-1</f>
        <v>9.169519005584581E-2</v>
      </c>
      <c r="AB99" s="273"/>
      <c r="AC99" s="273"/>
      <c r="AD99" s="273">
        <f>AC98/Z98-1</f>
        <v>2.3514851485149091E-3</v>
      </c>
      <c r="AE99" s="273"/>
      <c r="AF99" s="273"/>
      <c r="AG99" s="273">
        <f>AF98/AC98-1</f>
        <v>2.074330164217808E-2</v>
      </c>
      <c r="AH99" s="273"/>
      <c r="AI99" s="487">
        <f>AI98/AF98-1</f>
        <v>8.5036893673642089E-2</v>
      </c>
      <c r="AJ99" s="487"/>
      <c r="AK99" s="487"/>
      <c r="AL99" s="487"/>
      <c r="AM99" s="487"/>
      <c r="AN99" s="487"/>
      <c r="AO99" s="487"/>
      <c r="AP99" s="487"/>
      <c r="AQ99" s="487"/>
      <c r="AR99" s="487"/>
      <c r="AS99" s="487"/>
      <c r="AT99" s="487"/>
      <c r="AU99" s="274"/>
      <c r="AV99" s="273">
        <f>AU98/AF98-1</f>
        <v>8.5036893673642089E-2</v>
      </c>
      <c r="AW99" s="274"/>
      <c r="AX99" s="280"/>
      <c r="AY99" s="280"/>
      <c r="AZ99" s="275"/>
      <c r="BA99" s="276"/>
      <c r="BB99" s="276"/>
      <c r="BC99" s="276"/>
      <c r="BD99" s="276"/>
      <c r="BE99" s="276"/>
      <c r="BF99" s="276"/>
      <c r="BG99" s="276"/>
      <c r="BH99" s="276"/>
      <c r="BI99" s="276"/>
      <c r="BJ99" s="276"/>
      <c r="BK99" s="276"/>
      <c r="BL99" s="276"/>
      <c r="BM99" s="276"/>
      <c r="BN99" s="276"/>
    </row>
    <row r="100" spans="1:66" ht="18.5" x14ac:dyDescent="0.45">
      <c r="A100" s="401" t="s">
        <v>91</v>
      </c>
      <c r="B100" s="401"/>
      <c r="C100" s="401"/>
      <c r="D100" s="401"/>
      <c r="E100" s="402"/>
      <c r="F100" s="402"/>
      <c r="G100" s="402"/>
      <c r="H100" s="402"/>
      <c r="I100" s="403">
        <f>I99</f>
        <v>6.2390061565523292E-2</v>
      </c>
      <c r="J100" s="402"/>
      <c r="K100" s="402"/>
      <c r="L100" s="403">
        <f>L99</f>
        <v>8.3665338645418252E-2</v>
      </c>
      <c r="M100" s="402"/>
      <c r="N100" s="402"/>
      <c r="O100" s="403">
        <f>O99</f>
        <v>4.5263559969442424E-2</v>
      </c>
      <c r="P100" s="403"/>
      <c r="Q100" s="402"/>
      <c r="R100" s="403">
        <f>R99</f>
        <v>-4.4308423168281097E-3</v>
      </c>
      <c r="S100" s="403"/>
      <c r="T100" s="402"/>
      <c r="U100" s="403">
        <f>U99</f>
        <v>3.3860977288368899E-2</v>
      </c>
      <c r="V100" s="402"/>
      <c r="W100" s="402"/>
      <c r="X100" s="403">
        <f>X99</f>
        <v>-1.460080770425598E-2</v>
      </c>
      <c r="Y100" s="402"/>
      <c r="Z100" s="402"/>
      <c r="AA100" s="403">
        <f>AA99</f>
        <v>9.169519005584581E-2</v>
      </c>
      <c r="AB100" s="402"/>
      <c r="AC100" s="402"/>
      <c r="AD100" s="403">
        <f>AD99</f>
        <v>2.3514851485149091E-3</v>
      </c>
      <c r="AE100" s="402"/>
      <c r="AF100" s="402"/>
      <c r="AG100" s="403">
        <f>AG99+2%</f>
        <v>4.0743301642178084E-2</v>
      </c>
      <c r="AH100" s="402"/>
      <c r="AI100" s="490">
        <f>AI99+1%</f>
        <v>9.5036893673642084E-2</v>
      </c>
      <c r="AJ100" s="490"/>
      <c r="AK100" s="490"/>
      <c r="AL100" s="490"/>
      <c r="AM100" s="490"/>
      <c r="AN100" s="490"/>
      <c r="AO100" s="490"/>
      <c r="AP100" s="490"/>
      <c r="AQ100" s="490"/>
      <c r="AR100" s="490"/>
      <c r="AS100" s="490"/>
      <c r="AT100" s="490"/>
      <c r="AU100" s="403"/>
      <c r="AV100" s="403">
        <f>AV99+1%</f>
        <v>9.5036893673642084E-2</v>
      </c>
      <c r="AW100" s="403"/>
      <c r="AX100" s="494"/>
      <c r="AY100" s="494"/>
      <c r="AZ100" s="493">
        <f>AU$98*(1+$AZ$102)</f>
        <v>28068.346670075309</v>
      </c>
      <c r="BA100" s="493"/>
      <c r="BB100" s="493"/>
      <c r="BC100" s="493">
        <f>AZ$100*(1+$AZ$102)</f>
        <v>29276.554618785867</v>
      </c>
      <c r="BD100" s="493"/>
      <c r="BE100" s="493"/>
      <c r="BF100" s="493">
        <f>BC$100*(1+$AZ$102)</f>
        <v>30536.770135469204</v>
      </c>
      <c r="BG100" s="493"/>
      <c r="BH100" s="493"/>
      <c r="BI100" s="493">
        <f>BF$100*(1+$AZ$102)</f>
        <v>31851.231896943598</v>
      </c>
      <c r="BJ100" s="493"/>
      <c r="BK100" s="493"/>
      <c r="BL100" s="493">
        <f>BI$100*(1+$AZ$102)</f>
        <v>33222.274944346835</v>
      </c>
      <c r="BM100" s="493"/>
      <c r="BN100" s="493"/>
    </row>
    <row r="102" spans="1:66" x14ac:dyDescent="0.35">
      <c r="AV102" s="251" t="s">
        <v>172</v>
      </c>
      <c r="AW102" s="252"/>
      <c r="AX102" s="252"/>
      <c r="AY102" s="252"/>
      <c r="AZ102" s="253">
        <f>AVERAGE(X100,AA100,AD100,AG100,AV100)</f>
        <v>4.3045212563184984E-2</v>
      </c>
      <c r="BA102" s="94"/>
    </row>
    <row r="104" spans="1:66" x14ac:dyDescent="0.35">
      <c r="A104" s="205" t="s">
        <v>77</v>
      </c>
      <c r="B104" s="205"/>
      <c r="C104" s="205"/>
      <c r="D104" s="205"/>
      <c r="E104" s="484" t="s">
        <v>78</v>
      </c>
      <c r="F104" s="484"/>
      <c r="G104" s="484"/>
      <c r="H104" s="484" t="s">
        <v>79</v>
      </c>
      <c r="I104" s="484"/>
      <c r="J104" s="484"/>
      <c r="K104" s="484" t="s">
        <v>80</v>
      </c>
      <c r="L104" s="484"/>
      <c r="M104" s="484"/>
      <c r="N104" s="484" t="s">
        <v>81</v>
      </c>
      <c r="O104" s="484"/>
      <c r="P104" s="484"/>
      <c r="Q104" s="484" t="s">
        <v>82</v>
      </c>
      <c r="R104" s="484"/>
      <c r="S104" s="484"/>
      <c r="T104" s="484" t="s">
        <v>83</v>
      </c>
      <c r="U104" s="484"/>
      <c r="V104" s="484"/>
      <c r="W104" s="485" t="s">
        <v>84</v>
      </c>
      <c r="X104" s="485"/>
      <c r="Y104" s="485"/>
      <c r="Z104" s="485" t="s">
        <v>85</v>
      </c>
      <c r="AA104" s="485"/>
      <c r="AB104" s="485"/>
      <c r="AC104" s="485" t="s">
        <v>86</v>
      </c>
      <c r="AD104" s="485"/>
      <c r="AE104" s="485"/>
      <c r="AF104" s="485" t="s">
        <v>87</v>
      </c>
      <c r="AG104" s="485"/>
      <c r="AH104" s="485"/>
      <c r="AI104" s="485" t="s">
        <v>88</v>
      </c>
      <c r="AJ104" s="485"/>
      <c r="AK104" s="485"/>
      <c r="AL104" s="485" t="s">
        <v>89</v>
      </c>
      <c r="AM104" s="485"/>
      <c r="AN104" s="485"/>
      <c r="AO104" s="485" t="s">
        <v>90</v>
      </c>
      <c r="AP104" s="485"/>
      <c r="AQ104" s="485"/>
      <c r="AR104" s="485" t="s">
        <v>98</v>
      </c>
      <c r="AS104" s="485"/>
      <c r="AT104" s="485"/>
      <c r="AU104" s="485" t="s">
        <v>98</v>
      </c>
      <c r="AV104" s="485"/>
      <c r="AW104" s="485"/>
      <c r="AX104" s="254"/>
      <c r="AY104" s="254"/>
    </row>
    <row r="105" spans="1:66" x14ac:dyDescent="0.35">
      <c r="BA105" s="59"/>
      <c r="BB105" s="59"/>
      <c r="BC105" s="59"/>
      <c r="BD105" s="59"/>
      <c r="BE105" s="59"/>
      <c r="BF105" s="59"/>
      <c r="BG105" s="59"/>
      <c r="BH105" s="59"/>
      <c r="BI105" s="59"/>
      <c r="BJ105" s="59"/>
      <c r="BK105" s="59"/>
      <c r="BL105" s="59"/>
      <c r="BM105" s="59"/>
    </row>
    <row r="108" spans="1:66" ht="18.5" x14ac:dyDescent="0.45">
      <c r="E108" s="255"/>
      <c r="W108" s="59"/>
      <c r="X108" s="59"/>
      <c r="Z108" s="59"/>
      <c r="AA108" s="59"/>
      <c r="AC108" s="59"/>
      <c r="AD108" s="59"/>
      <c r="AF108" s="59"/>
      <c r="AG108" s="59"/>
      <c r="AU108" s="59"/>
      <c r="AV108" s="59"/>
      <c r="AX108" s="59"/>
      <c r="AY108" s="59"/>
      <c r="BA108" s="431">
        <f>AZ98/AU98-1</f>
        <v>0.13439486192330485</v>
      </c>
      <c r="BB108" s="431"/>
      <c r="BC108" s="431"/>
      <c r="BD108" s="431">
        <f>BC98/AZ98-1</f>
        <v>4.755712332707529E-2</v>
      </c>
      <c r="BE108" s="431"/>
      <c r="BF108" s="431"/>
      <c r="BG108" s="431">
        <f>BF98/BC98-1</f>
        <v>4.5720964549682108E-2</v>
      </c>
      <c r="BH108" s="431"/>
      <c r="BI108" s="431"/>
      <c r="BJ108" s="431">
        <f>BI98/BF98-1</f>
        <v>3.2597452025521667E-2</v>
      </c>
      <c r="BK108" s="431"/>
      <c r="BL108" s="431"/>
      <c r="BM108" s="431">
        <f>BL98/BI98-1</f>
        <v>3.6187707193037877E-2</v>
      </c>
    </row>
    <row r="109" spans="1:66" x14ac:dyDescent="0.35">
      <c r="Z109" s="200"/>
      <c r="AA109" s="200"/>
      <c r="AC109" s="200"/>
      <c r="AD109" s="200"/>
      <c r="AF109" s="200"/>
      <c r="AG109" s="200"/>
      <c r="AU109" s="200"/>
      <c r="AV109" s="200"/>
      <c r="AX109" s="200"/>
      <c r="AY109" s="200"/>
    </row>
    <row r="110" spans="1:66" x14ac:dyDescent="0.35">
      <c r="AC110" s="200"/>
      <c r="AD110" s="200"/>
      <c r="AF110" s="200"/>
      <c r="AG110" s="200"/>
      <c r="AU110" s="200"/>
      <c r="AV110" s="200"/>
      <c r="AX110" s="200"/>
      <c r="AY110" s="200"/>
    </row>
    <row r="111" spans="1:66" x14ac:dyDescent="0.35">
      <c r="AF111" s="200"/>
      <c r="AG111" s="200"/>
      <c r="AU111" s="200"/>
      <c r="AV111" s="200"/>
    </row>
  </sheetData>
  <mergeCells count="66">
    <mergeCell ref="BI3:BK3"/>
    <mergeCell ref="BL3:BN3"/>
    <mergeCell ref="AF3:AH3"/>
    <mergeCell ref="AU3:AW3"/>
    <mergeCell ref="AZ3:BB3"/>
    <mergeCell ref="BC3:BE3"/>
    <mergeCell ref="BF3:BH3"/>
    <mergeCell ref="AX3:AY4"/>
    <mergeCell ref="AF4:AH4"/>
    <mergeCell ref="AU4:AW4"/>
    <mergeCell ref="BF98:BH98"/>
    <mergeCell ref="BI98:BK98"/>
    <mergeCell ref="BL98:BN98"/>
    <mergeCell ref="AR104:AT104"/>
    <mergeCell ref="AI100:AT100"/>
    <mergeCell ref="AX98:AY98"/>
    <mergeCell ref="AZ100:BB100"/>
    <mergeCell ref="BC100:BE100"/>
    <mergeCell ref="BF100:BH100"/>
    <mergeCell ref="BI100:BK100"/>
    <mergeCell ref="BL100:BN100"/>
    <mergeCell ref="AX100:AY100"/>
    <mergeCell ref="AZ98:BB98"/>
    <mergeCell ref="BC98:BE98"/>
    <mergeCell ref="AU98:AW98"/>
    <mergeCell ref="AU104:AW104"/>
    <mergeCell ref="AI98:AT98"/>
    <mergeCell ref="AI99:AT99"/>
    <mergeCell ref="AI6:AT6"/>
    <mergeCell ref="AI104:AK104"/>
    <mergeCell ref="AL104:AN104"/>
    <mergeCell ref="AO104:AQ104"/>
    <mergeCell ref="H104:J104"/>
    <mergeCell ref="E104:G104"/>
    <mergeCell ref="K104:M104"/>
    <mergeCell ref="N104:P104"/>
    <mergeCell ref="Q104:S104"/>
    <mergeCell ref="T104:V104"/>
    <mergeCell ref="W104:Y104"/>
    <mergeCell ref="Z104:AB104"/>
    <mergeCell ref="AC104:AE104"/>
    <mergeCell ref="AF104:AH104"/>
    <mergeCell ref="N98:P98"/>
    <mergeCell ref="Q98:S98"/>
    <mergeCell ref="T98:V98"/>
    <mergeCell ref="E4:G4"/>
    <mergeCell ref="H4:J4"/>
    <mergeCell ref="K4:M4"/>
    <mergeCell ref="N4:P4"/>
    <mergeCell ref="Q4:S4"/>
    <mergeCell ref="W98:Y98"/>
    <mergeCell ref="Z98:AB98"/>
    <mergeCell ref="AC98:AE98"/>
    <mergeCell ref="AF98:AH98"/>
    <mergeCell ref="A1:B1"/>
    <mergeCell ref="W4:Y4"/>
    <mergeCell ref="Z4:AB4"/>
    <mergeCell ref="AC4:AE4"/>
    <mergeCell ref="T3:V3"/>
    <mergeCell ref="W3:Y3"/>
    <mergeCell ref="Z3:AB3"/>
    <mergeCell ref="AC3:AE3"/>
    <mergeCell ref="T4:V4"/>
    <mergeCell ref="E98:G98"/>
    <mergeCell ref="H98:J98"/>
    <mergeCell ref="K98:M98"/>
  </mergeCells>
  <phoneticPr fontId="6" type="noConversion"/>
  <hyperlinks>
    <hyperlink ref="H104:J104" r:id="rId1" display="10-K Report 2014" xr:uid="{6C747CC9-D547-4670-83DF-6DE55D0B5BB9}"/>
    <hyperlink ref="E104:G104" r:id="rId2" display="10-K Report 2013" xr:uid="{089AA590-A0B7-4127-B83E-B60550F8020C}"/>
    <hyperlink ref="K104:M104" r:id="rId3" display="10-K Report 2015" xr:uid="{4B20C924-4BF1-4BE1-B84A-896E76A3385D}"/>
    <hyperlink ref="N104:P104" r:id="rId4" display="10-K Report 2016" xr:uid="{7599A884-EEAA-45D9-B3EE-F3F99E9A92ED}"/>
    <hyperlink ref="Q104:S104" r:id="rId5" display="10-K Report 2017" xr:uid="{058E21C5-4D93-4BF3-9D43-7AD7C5BB2DE4}"/>
    <hyperlink ref="T104:V104" r:id="rId6" display="10-K Report 2018" xr:uid="{AEE59F26-20A4-4FEC-8083-E54C99A214F0}"/>
    <hyperlink ref="W104:Y104" r:id="rId7" display="10-K Report 2019" xr:uid="{45712111-1848-45D0-B9B9-75AB81CD21F3}"/>
    <hyperlink ref="Z104:AB104" r:id="rId8" display="10-K Report 2020" xr:uid="{B6FBABCE-EDE7-4ECB-A6E9-AD45550F2C67}"/>
    <hyperlink ref="AC104:AE104" r:id="rId9" display="10-K Report 2021" xr:uid="{B4B99279-1CD6-435A-9D97-05C380F3CAB9}"/>
    <hyperlink ref="AF104:AH104" r:id="rId10" display="10-K Report 2022" xr:uid="{0496327B-D755-460D-BDC1-B2E3D96D6D60}"/>
    <hyperlink ref="AI104:AK104" r:id="rId11" display="10-Q Report 2023 Q1" xr:uid="{D06DFFF8-8FAF-4159-98D7-FA0AAB371CF8}"/>
    <hyperlink ref="AL104:AN104" r:id="rId12" display="10-Q Report 2023 Q2" xr:uid="{FD0EB470-3178-4FA6-9AB5-F0DB7EDD29A7}"/>
    <hyperlink ref="AO104:AQ104" r:id="rId13" display="10-Q Report 2023 Q3" xr:uid="{4092A788-DCC1-4232-A82C-8A1863FE7DC5}"/>
    <hyperlink ref="AR104:AT104" r:id="rId14" display="10-Q Report 2023 Q4" xr:uid="{2459F908-A30E-4140-9A2E-307B0E68F34F}"/>
    <hyperlink ref="AU104:AW104" r:id="rId15" display="Q4 2023 Earnings Presentation" xr:uid="{56886528-BD05-45F2-B773-135323BE1280}"/>
  </hyperlinks>
  <pageMargins left="0.7" right="0.7" top="0.75" bottom="0.75" header="0.3" footer="0.3"/>
  <legacyDrawing r:id="rId1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D4FF6-9389-4E48-BE6C-09072350FA15}">
  <dimension ref="A1:X234"/>
  <sheetViews>
    <sheetView zoomScale="56" zoomScaleNormal="55" workbookViewId="0">
      <pane xSplit="5" ySplit="5" topLeftCell="F6" activePane="bottomRight" state="frozen"/>
      <selection pane="topRight" activeCell="F1" sqref="F1"/>
      <selection pane="bottomLeft" activeCell="A6" sqref="A6"/>
      <selection pane="bottomRight" activeCell="T90" sqref="T90"/>
    </sheetView>
  </sheetViews>
  <sheetFormatPr defaultRowHeight="14.5" x14ac:dyDescent="0.35"/>
  <cols>
    <col min="1" max="1" width="8.7265625" style="12"/>
    <col min="2" max="4" width="8.7265625" style="12" customWidth="1"/>
    <col min="5" max="5" width="37.1796875" style="12" customWidth="1"/>
    <col min="6" max="9" width="15.26953125" style="12" bestFit="1" customWidth="1"/>
    <col min="10" max="10" width="19.6328125" style="12" customWidth="1"/>
    <col min="11" max="11" width="16.08984375" style="12" customWidth="1"/>
    <col min="12" max="16" width="16" style="12" customWidth="1"/>
    <col min="17" max="16384" width="8.7265625" style="12"/>
  </cols>
  <sheetData>
    <row r="1" spans="1:24" ht="21" x14ac:dyDescent="0.5">
      <c r="A1" s="472" t="s">
        <v>12</v>
      </c>
      <c r="B1" s="472"/>
      <c r="C1" s="2"/>
      <c r="D1" s="2"/>
      <c r="E1" s="2"/>
      <c r="F1" s="9" t="s">
        <v>100</v>
      </c>
      <c r="G1" s="9" t="s">
        <v>100</v>
      </c>
      <c r="H1" s="9" t="s">
        <v>100</v>
      </c>
      <c r="I1" s="9" t="s">
        <v>100</v>
      </c>
      <c r="J1" s="9" t="s">
        <v>100</v>
      </c>
      <c r="K1" s="505" t="s">
        <v>160</v>
      </c>
      <c r="L1" s="85" t="s">
        <v>100</v>
      </c>
      <c r="M1" s="85" t="s">
        <v>100</v>
      </c>
      <c r="N1" s="85" t="s">
        <v>100</v>
      </c>
      <c r="O1" s="85" t="s">
        <v>100</v>
      </c>
      <c r="P1" s="85" t="s">
        <v>100</v>
      </c>
    </row>
    <row r="2" spans="1:24" x14ac:dyDescent="0.35">
      <c r="A2" s="69" t="s">
        <v>403</v>
      </c>
      <c r="B2" s="69"/>
      <c r="C2" s="61"/>
      <c r="D2" s="61"/>
      <c r="E2" s="61"/>
      <c r="F2" s="10"/>
      <c r="G2" s="10"/>
      <c r="H2" s="10"/>
      <c r="I2" s="10"/>
      <c r="J2" s="10"/>
      <c r="K2" s="505"/>
      <c r="L2" s="86"/>
      <c r="M2" s="86"/>
      <c r="N2" s="86"/>
      <c r="O2" s="86"/>
      <c r="P2" s="86"/>
    </row>
    <row r="3" spans="1:24" x14ac:dyDescent="0.35">
      <c r="A3" s="61"/>
      <c r="B3" s="61"/>
      <c r="C3" s="61"/>
      <c r="D3" s="61"/>
      <c r="E3" s="112"/>
      <c r="F3" s="11">
        <v>43830</v>
      </c>
      <c r="G3" s="11">
        <v>44196</v>
      </c>
      <c r="H3" s="11">
        <v>44561</v>
      </c>
      <c r="I3" s="11">
        <v>44926</v>
      </c>
      <c r="J3" s="11">
        <v>45291</v>
      </c>
      <c r="K3" s="505"/>
      <c r="L3" s="464">
        <v>45657</v>
      </c>
      <c r="M3" s="464">
        <v>46022</v>
      </c>
      <c r="N3" s="464">
        <v>46387</v>
      </c>
      <c r="O3" s="464">
        <v>46752</v>
      </c>
      <c r="P3" s="464">
        <v>47118</v>
      </c>
    </row>
    <row r="4" spans="1:24" x14ac:dyDescent="0.35">
      <c r="A4" s="61"/>
      <c r="B4" s="61"/>
      <c r="C4" s="61"/>
      <c r="D4" s="61"/>
      <c r="E4" s="61"/>
      <c r="F4" s="4"/>
      <c r="G4" s="4"/>
      <c r="H4" s="4"/>
      <c r="I4" s="4"/>
      <c r="J4" s="4"/>
      <c r="K4" s="130"/>
      <c r="L4" s="2"/>
      <c r="M4" s="2"/>
      <c r="N4" s="2"/>
      <c r="O4" s="2"/>
      <c r="P4" s="2"/>
    </row>
    <row r="5" spans="1:24" x14ac:dyDescent="0.35">
      <c r="A5" s="61"/>
      <c r="B5" s="61"/>
      <c r="C5" s="61"/>
      <c r="D5" s="61"/>
      <c r="E5" s="61"/>
      <c r="F5" s="8" t="s">
        <v>101</v>
      </c>
      <c r="G5" s="8" t="s">
        <v>102</v>
      </c>
      <c r="H5" s="8" t="s">
        <v>103</v>
      </c>
      <c r="I5" s="8" t="s">
        <v>104</v>
      </c>
      <c r="J5" s="8" t="s">
        <v>105</v>
      </c>
      <c r="K5" s="220"/>
      <c r="L5" s="87" t="s">
        <v>106</v>
      </c>
      <c r="M5" s="87" t="s">
        <v>107</v>
      </c>
      <c r="N5" s="87" t="s">
        <v>108</v>
      </c>
      <c r="O5" s="87" t="s">
        <v>109</v>
      </c>
      <c r="P5" s="87" t="s">
        <v>110</v>
      </c>
    </row>
    <row r="6" spans="1:24" x14ac:dyDescent="0.35">
      <c r="F6" s="77"/>
      <c r="G6" s="77"/>
      <c r="H6" s="77"/>
      <c r="I6" s="77"/>
      <c r="J6" s="77"/>
      <c r="K6" s="138"/>
      <c r="L6" s="77"/>
      <c r="M6" s="77"/>
      <c r="N6" s="77"/>
      <c r="O6" s="77"/>
      <c r="P6" s="77"/>
    </row>
    <row r="7" spans="1:24" ht="17" x14ac:dyDescent="0.4">
      <c r="A7" s="152" t="s">
        <v>113</v>
      </c>
      <c r="F7" s="77"/>
      <c r="G7" s="77"/>
      <c r="H7" s="77"/>
      <c r="I7" s="77"/>
      <c r="J7" s="77"/>
      <c r="K7" s="138"/>
      <c r="L7" s="77"/>
      <c r="M7" s="77"/>
      <c r="N7" s="77"/>
      <c r="O7" s="77"/>
      <c r="P7" s="77"/>
    </row>
    <row r="8" spans="1:24" x14ac:dyDescent="0.35">
      <c r="A8" s="153" t="s">
        <v>114</v>
      </c>
      <c r="B8" s="153"/>
      <c r="C8" s="153"/>
      <c r="D8" s="153"/>
      <c r="E8" s="153"/>
      <c r="F8" s="154">
        <f>'Revenue Segements'!W98</f>
        <v>22204</v>
      </c>
      <c r="G8" s="154">
        <f>'Revenue Segements'!Z98</f>
        <v>24240</v>
      </c>
      <c r="H8" s="154">
        <f>'Revenue Segements'!AC98</f>
        <v>24297</v>
      </c>
      <c r="I8" s="154">
        <f>'Revenue Segements'!AF98</f>
        <v>24801</v>
      </c>
      <c r="J8" s="154">
        <v>26910</v>
      </c>
      <c r="K8" s="221"/>
      <c r="L8" s="154">
        <f>'Revenue Segements'!AZ98</f>
        <v>30526.565734356132</v>
      </c>
      <c r="M8" s="154">
        <f>'Revenue Segements'!BC98</f>
        <v>31978.321385736977</v>
      </c>
      <c r="N8" s="154">
        <f>'Revenue Segements'!BF98</f>
        <v>33440.401084172598</v>
      </c>
      <c r="O8" s="154">
        <f>'Revenue Segements'!BI98</f>
        <v>34530.47295422812</v>
      </c>
      <c r="P8" s="154">
        <f>'Revenue Segements'!BL98</f>
        <v>35780.05159873284</v>
      </c>
    </row>
    <row r="9" spans="1:24" x14ac:dyDescent="0.35">
      <c r="A9" s="153" t="s">
        <v>115</v>
      </c>
      <c r="B9" s="153"/>
      <c r="C9" s="153"/>
      <c r="D9" s="153"/>
      <c r="E9" s="153"/>
      <c r="F9" s="154">
        <v>1158</v>
      </c>
      <c r="G9" s="154">
        <v>1184</v>
      </c>
      <c r="H9" s="154">
        <v>1682</v>
      </c>
      <c r="I9" s="154">
        <v>1522</v>
      </c>
      <c r="J9" s="154">
        <v>1280</v>
      </c>
      <c r="K9" s="212">
        <f>K110</f>
        <v>5.2821755001199677E-2</v>
      </c>
      <c r="L9" s="154">
        <f>L8*$K$9</f>
        <v>1612.4667762481768</v>
      </c>
      <c r="M9" s="154">
        <f>M8*$K$9</f>
        <v>1689.1510575870227</v>
      </c>
      <c r="N9" s="154">
        <f t="shared" ref="N9:P9" si="0">N8*$K$9</f>
        <v>1766.380673210017</v>
      </c>
      <c r="O9" s="154">
        <f t="shared" si="0"/>
        <v>1823.9601824637894</v>
      </c>
      <c r="P9" s="154">
        <f t="shared" si="0"/>
        <v>1889.9651194785488</v>
      </c>
    </row>
    <row r="10" spans="1:24" s="49" customFormat="1" x14ac:dyDescent="0.35">
      <c r="A10" s="49" t="s">
        <v>424</v>
      </c>
      <c r="F10" s="155">
        <f>F8+F9</f>
        <v>23362</v>
      </c>
      <c r="G10" s="155">
        <f>G8+G9</f>
        <v>25424</v>
      </c>
      <c r="H10" s="155">
        <f>H8+H9</f>
        <v>25979</v>
      </c>
      <c r="I10" s="155">
        <f>I8+I9</f>
        <v>26323</v>
      </c>
      <c r="J10" s="155">
        <f>J8+J9</f>
        <v>28190</v>
      </c>
      <c r="K10" s="210"/>
      <c r="L10" s="155">
        <f>L8+L9</f>
        <v>32139.032510604309</v>
      </c>
      <c r="M10" s="155">
        <f>M8+M9</f>
        <v>33667.472443323997</v>
      </c>
      <c r="N10" s="155">
        <f>N8+N9</f>
        <v>35206.781757382618</v>
      </c>
      <c r="O10" s="155">
        <f>O8+O9</f>
        <v>36354.433136691907</v>
      </c>
      <c r="P10" s="155">
        <f>P8+P9</f>
        <v>37670.016718211387</v>
      </c>
    </row>
    <row r="11" spans="1:24" ht="14.5" customHeight="1" x14ac:dyDescent="0.35">
      <c r="A11" s="45" t="s">
        <v>111</v>
      </c>
      <c r="B11" s="45"/>
      <c r="C11" s="45"/>
      <c r="D11" s="45"/>
      <c r="E11" s="45"/>
      <c r="F11" s="156">
        <v>0</v>
      </c>
      <c r="G11" s="156">
        <v>0</v>
      </c>
      <c r="H11" s="156">
        <v>0</v>
      </c>
      <c r="I11" s="156">
        <v>0</v>
      </c>
      <c r="J11" s="156">
        <v>0</v>
      </c>
      <c r="K11" s="135"/>
      <c r="L11" s="156"/>
      <c r="M11" s="156"/>
      <c r="N11" s="156"/>
      <c r="O11" s="156"/>
      <c r="P11" s="156"/>
      <c r="S11" s="506" t="s">
        <v>165</v>
      </c>
      <c r="T11" s="506"/>
      <c r="U11" s="506"/>
      <c r="V11" s="506"/>
      <c r="W11" s="506"/>
      <c r="X11" s="506"/>
    </row>
    <row r="12" spans="1:24" s="161" customFormat="1" ht="15.5" x14ac:dyDescent="0.35">
      <c r="A12" s="158" t="s">
        <v>423</v>
      </c>
      <c r="B12" s="158"/>
      <c r="C12" s="158"/>
      <c r="D12" s="158"/>
      <c r="E12" s="158"/>
      <c r="F12" s="159">
        <f>F11+F10</f>
        <v>23362</v>
      </c>
      <c r="G12" s="160">
        <f>G11+G10</f>
        <v>25424</v>
      </c>
      <c r="H12" s="160">
        <f>H11+H10</f>
        <v>25979</v>
      </c>
      <c r="I12" s="160">
        <f>I11+I10</f>
        <v>26323</v>
      </c>
      <c r="J12" s="160">
        <f>J11+J10</f>
        <v>28190</v>
      </c>
      <c r="K12" s="211"/>
      <c r="L12" s="160">
        <f>L11+L10</f>
        <v>32139.032510604309</v>
      </c>
      <c r="M12" s="160">
        <f>M11+M10</f>
        <v>33667.472443323997</v>
      </c>
      <c r="N12" s="160">
        <f>N11+N10</f>
        <v>35206.781757382618</v>
      </c>
      <c r="O12" s="160">
        <f>O11+O10</f>
        <v>36354.433136691907</v>
      </c>
      <c r="P12" s="160">
        <f>P11+P10</f>
        <v>37670.016718211387</v>
      </c>
      <c r="R12" s="554">
        <f>RATE(5,,J12,-P12)</f>
        <v>5.9693199797977194E-2</v>
      </c>
      <c r="S12" s="506"/>
      <c r="T12" s="506"/>
      <c r="U12" s="506"/>
      <c r="V12" s="506"/>
      <c r="W12" s="506"/>
      <c r="X12" s="506"/>
    </row>
    <row r="13" spans="1:24" x14ac:dyDescent="0.35">
      <c r="F13" s="114"/>
      <c r="G13" s="114"/>
      <c r="H13" s="114"/>
      <c r="I13" s="114"/>
      <c r="J13" s="114"/>
      <c r="K13" s="135"/>
      <c r="L13" s="114"/>
      <c r="M13" s="114"/>
      <c r="N13" s="114"/>
      <c r="O13" s="114"/>
      <c r="P13" s="114"/>
      <c r="S13" s="506"/>
      <c r="T13" s="506"/>
      <c r="U13" s="506"/>
      <c r="V13" s="506"/>
      <c r="W13" s="506"/>
      <c r="X13" s="506"/>
    </row>
    <row r="14" spans="1:24" ht="17" x14ac:dyDescent="0.4">
      <c r="A14" s="152" t="s">
        <v>116</v>
      </c>
      <c r="F14" s="114"/>
      <c r="G14" s="114"/>
      <c r="H14" s="114"/>
      <c r="I14" s="114"/>
      <c r="J14" s="114"/>
      <c r="K14" s="135"/>
      <c r="L14" s="114"/>
      <c r="M14" s="114"/>
      <c r="N14" s="114"/>
      <c r="O14" s="114"/>
      <c r="P14" s="114"/>
      <c r="S14" s="506"/>
      <c r="T14" s="506"/>
      <c r="U14" s="506"/>
      <c r="V14" s="506"/>
      <c r="W14" s="506"/>
      <c r="X14" s="506"/>
    </row>
    <row r="15" spans="1:24" s="49" customFormat="1" x14ac:dyDescent="0.35">
      <c r="A15" s="49" t="s">
        <v>132</v>
      </c>
      <c r="F15" s="155">
        <v>4356</v>
      </c>
      <c r="G15" s="155">
        <v>6159</v>
      </c>
      <c r="H15" s="155">
        <f>6454</f>
        <v>6454</v>
      </c>
      <c r="I15" s="155">
        <v>6406</v>
      </c>
      <c r="J15" s="155">
        <v>8451</v>
      </c>
      <c r="K15" s="210"/>
      <c r="L15" s="155"/>
      <c r="M15" s="155"/>
      <c r="N15" s="155"/>
      <c r="O15" s="155"/>
      <c r="P15" s="155"/>
      <c r="S15" s="506"/>
      <c r="T15" s="506"/>
      <c r="U15" s="506"/>
      <c r="V15" s="506"/>
      <c r="W15" s="506"/>
      <c r="X15" s="506"/>
    </row>
    <row r="16" spans="1:24" x14ac:dyDescent="0.35">
      <c r="A16" s="45" t="s">
        <v>111</v>
      </c>
      <c r="B16" s="45"/>
      <c r="C16" s="45"/>
      <c r="D16" s="45"/>
      <c r="E16" s="45"/>
      <c r="F16" s="156">
        <v>-1291</v>
      </c>
      <c r="G16" s="156">
        <v>-2797</v>
      </c>
      <c r="H16" s="156">
        <f>-2443-17</f>
        <v>-2460</v>
      </c>
      <c r="I16" s="156">
        <v>-2455</v>
      </c>
      <c r="J16" s="156">
        <v>-3878</v>
      </c>
      <c r="K16" s="135"/>
      <c r="L16" s="156"/>
      <c r="M16" s="156"/>
      <c r="N16" s="156"/>
      <c r="O16" s="156"/>
      <c r="P16" s="156"/>
      <c r="S16" s="506"/>
      <c r="T16" s="506"/>
      <c r="U16" s="506"/>
      <c r="V16" s="506"/>
      <c r="W16" s="506"/>
      <c r="X16" s="506"/>
    </row>
    <row r="17" spans="1:24" ht="15.5" x14ac:dyDescent="0.35">
      <c r="A17" s="12" t="s">
        <v>246</v>
      </c>
      <c r="F17" s="114">
        <f>F19-F18</f>
        <v>1665</v>
      </c>
      <c r="G17" s="114">
        <f t="shared" ref="G17:J17" si="1">G19-G18</f>
        <v>562</v>
      </c>
      <c r="H17" s="114">
        <f t="shared" si="1"/>
        <v>1394</v>
      </c>
      <c r="I17" s="114">
        <f t="shared" si="1"/>
        <v>1351</v>
      </c>
      <c r="J17" s="114">
        <f t="shared" si="1"/>
        <v>1373</v>
      </c>
      <c r="K17" s="212">
        <f>K112</f>
        <v>5.2208036109005942E-2</v>
      </c>
      <c r="L17" s="114">
        <f>L19-L18</f>
        <v>1306.4161770148203</v>
      </c>
      <c r="M17" s="114">
        <f t="shared" ref="M17:P17" si="2">M19-M18</f>
        <v>1560.1450397983208</v>
      </c>
      <c r="N17" s="114">
        <f t="shared" si="2"/>
        <v>2085.1528987550482</v>
      </c>
      <c r="O17" s="114">
        <f t="shared" si="2"/>
        <v>1916.7093018707055</v>
      </c>
      <c r="P17" s="114">
        <f t="shared" si="2"/>
        <v>2750.5025077317077</v>
      </c>
      <c r="S17" s="162"/>
      <c r="T17" s="162"/>
      <c r="U17" s="162"/>
      <c r="V17" s="162"/>
      <c r="W17" s="162"/>
      <c r="X17" s="162"/>
    </row>
    <row r="18" spans="1:24" ht="15.5" x14ac:dyDescent="0.35">
      <c r="A18" s="45" t="s">
        <v>247</v>
      </c>
      <c r="B18" s="45"/>
      <c r="C18" s="45"/>
      <c r="D18" s="45"/>
      <c r="E18" s="45"/>
      <c r="F18" s="156">
        <f>1400</f>
        <v>1400</v>
      </c>
      <c r="G18" s="156">
        <f>2800</f>
        <v>2800</v>
      </c>
      <c r="H18" s="156">
        <v>2600</v>
      </c>
      <c r="I18" s="156">
        <v>2600</v>
      </c>
      <c r="J18" s="156">
        <v>3200</v>
      </c>
      <c r="K18" s="212">
        <f>K113</f>
        <v>0.10186434666567265</v>
      </c>
      <c r="L18" s="156">
        <f>-'FA Schedule'!L34</f>
        <v>4800</v>
      </c>
      <c r="M18" s="156">
        <f>-'FA Schedule'!M34</f>
        <v>4500</v>
      </c>
      <c r="N18" s="156">
        <f>-'FA Schedule'!N34</f>
        <v>3900</v>
      </c>
      <c r="O18" s="156">
        <f>-'FA Schedule'!O34</f>
        <v>3900</v>
      </c>
      <c r="P18" s="156">
        <f>-'FA Schedule'!P34</f>
        <v>2900</v>
      </c>
      <c r="S18" s="163"/>
      <c r="T18" s="163"/>
      <c r="U18" s="163"/>
      <c r="V18" s="163"/>
      <c r="W18" s="163"/>
      <c r="X18" s="163"/>
    </row>
    <row r="19" spans="1:24" s="158" customFormat="1" ht="15.5" x14ac:dyDescent="0.35">
      <c r="A19" s="158" t="s">
        <v>133</v>
      </c>
      <c r="F19" s="160">
        <f>F15+F16</f>
        <v>3065</v>
      </c>
      <c r="G19" s="160">
        <f t="shared" ref="G19:J19" si="3">G15+G16</f>
        <v>3362</v>
      </c>
      <c r="H19" s="160">
        <f t="shared" si="3"/>
        <v>3994</v>
      </c>
      <c r="I19" s="160">
        <f t="shared" si="3"/>
        <v>3951</v>
      </c>
      <c r="J19" s="160">
        <f t="shared" si="3"/>
        <v>4573</v>
      </c>
      <c r="K19" s="211">
        <f>J111</f>
        <v>0.16993682645856559</v>
      </c>
      <c r="L19" s="160">
        <f>L12-L21</f>
        <v>6106.4161770148203</v>
      </c>
      <c r="M19" s="160">
        <f t="shared" ref="M19:P19" si="4">M12-M21</f>
        <v>6060.1450397983208</v>
      </c>
      <c r="N19" s="160">
        <f t="shared" si="4"/>
        <v>5985.1528987550482</v>
      </c>
      <c r="O19" s="160">
        <f t="shared" si="4"/>
        <v>5816.7093018707055</v>
      </c>
      <c r="P19" s="160">
        <f t="shared" si="4"/>
        <v>5650.5025077317077</v>
      </c>
      <c r="R19" s="554">
        <f>RATE(5,,J19,-P19)</f>
        <v>4.3223049758257699E-2</v>
      </c>
    </row>
    <row r="20" spans="1:24" x14ac:dyDescent="0.35">
      <c r="F20" s="114"/>
      <c r="G20" s="114"/>
      <c r="H20" s="114"/>
      <c r="I20" s="114"/>
      <c r="J20" s="114"/>
      <c r="K20" s="135"/>
      <c r="L20" s="114"/>
      <c r="M20" s="114"/>
      <c r="N20" s="114"/>
      <c r="O20" s="114"/>
      <c r="P20" s="114"/>
    </row>
    <row r="21" spans="1:24" x14ac:dyDescent="0.35">
      <c r="A21" s="119" t="s">
        <v>140</v>
      </c>
      <c r="B21" s="119"/>
      <c r="C21" s="119"/>
      <c r="D21" s="119"/>
      <c r="E21" s="119"/>
      <c r="F21" s="120">
        <f>F12-F19</f>
        <v>20297</v>
      </c>
      <c r="G21" s="120">
        <f t="shared" ref="G21:J21" si="5">G12-G19</f>
        <v>22062</v>
      </c>
      <c r="H21" s="120">
        <f t="shared" si="5"/>
        <v>21985</v>
      </c>
      <c r="I21" s="120">
        <f t="shared" si="5"/>
        <v>22372</v>
      </c>
      <c r="J21" s="120">
        <f t="shared" si="5"/>
        <v>23617</v>
      </c>
      <c r="K21" s="213"/>
      <c r="L21" s="120">
        <f>L23*L12</f>
        <v>26032.616333589489</v>
      </c>
      <c r="M21" s="120">
        <f t="shared" ref="M21:P21" si="6">M23*M12</f>
        <v>27607.327403525676</v>
      </c>
      <c r="N21" s="120">
        <f t="shared" si="6"/>
        <v>29221.62885862757</v>
      </c>
      <c r="O21" s="120">
        <f t="shared" si="6"/>
        <v>30537.723834821201</v>
      </c>
      <c r="P21" s="120">
        <f t="shared" si="6"/>
        <v>32019.51421047968</v>
      </c>
    </row>
    <row r="22" spans="1:24" x14ac:dyDescent="0.35">
      <c r="A22" s="48"/>
      <c r="B22" s="48"/>
      <c r="C22" s="48"/>
      <c r="D22" s="48"/>
      <c r="E22" s="48"/>
      <c r="F22" s="164"/>
      <c r="G22" s="455"/>
      <c r="H22" s="455"/>
      <c r="I22" s="455"/>
      <c r="J22" s="455"/>
      <c r="K22" s="212"/>
      <c r="L22" s="455"/>
      <c r="M22" s="455"/>
      <c r="N22" s="455"/>
      <c r="O22" s="455"/>
      <c r="P22" s="455"/>
    </row>
    <row r="23" spans="1:24" x14ac:dyDescent="0.35">
      <c r="A23" s="165" t="s">
        <v>142</v>
      </c>
      <c r="B23" s="165"/>
      <c r="C23" s="165"/>
      <c r="D23" s="165"/>
      <c r="E23" s="165" t="s">
        <v>145</v>
      </c>
      <c r="F23" s="166">
        <f>F21/F12</f>
        <v>0.86880404074993578</v>
      </c>
      <c r="G23" s="166">
        <f t="shared" ref="G23:I23" si="7">G21/G12</f>
        <v>0.86776274386406549</v>
      </c>
      <c r="H23" s="166">
        <f t="shared" si="7"/>
        <v>0.84626044112552445</v>
      </c>
      <c r="I23" s="166">
        <f t="shared" si="7"/>
        <v>0.84990312654332711</v>
      </c>
      <c r="J23" s="166">
        <v>0.84</v>
      </c>
      <c r="K23" s="222"/>
      <c r="L23" s="166">
        <f>J23-3%</f>
        <v>0.80999999999999994</v>
      </c>
      <c r="M23" s="166">
        <f>L23+1%</f>
        <v>0.82</v>
      </c>
      <c r="N23" s="166">
        <f t="shared" ref="N23:P23" si="8">M23+1%</f>
        <v>0.83</v>
      </c>
      <c r="O23" s="166">
        <f t="shared" si="8"/>
        <v>0.84</v>
      </c>
      <c r="P23" s="166">
        <f t="shared" si="8"/>
        <v>0.85</v>
      </c>
    </row>
    <row r="24" spans="1:24" x14ac:dyDescent="0.35">
      <c r="F24" s="114"/>
      <c r="G24" s="114"/>
      <c r="H24" s="114"/>
      <c r="I24" s="114"/>
      <c r="J24" s="114"/>
      <c r="K24" s="135"/>
      <c r="L24" s="114"/>
      <c r="M24" s="114"/>
      <c r="N24" s="114"/>
      <c r="O24" s="114"/>
      <c r="P24" s="114"/>
    </row>
    <row r="25" spans="1:24" s="49" customFormat="1" x14ac:dyDescent="0.35">
      <c r="A25" s="49" t="s">
        <v>134</v>
      </c>
      <c r="F25" s="114">
        <v>4116</v>
      </c>
      <c r="G25" s="155">
        <v>4207</v>
      </c>
      <c r="H25" s="155">
        <v>4819</v>
      </c>
      <c r="I25" s="155">
        <v>4434</v>
      </c>
      <c r="J25" s="155">
        <v>4784</v>
      </c>
      <c r="K25" s="210"/>
      <c r="L25" s="155"/>
      <c r="M25" s="155"/>
      <c r="N25" s="155"/>
      <c r="O25" s="155"/>
      <c r="P25" s="155"/>
    </row>
    <row r="26" spans="1:24" x14ac:dyDescent="0.35">
      <c r="A26" s="45" t="s">
        <v>111</v>
      </c>
      <c r="B26" s="45"/>
      <c r="C26" s="45"/>
      <c r="D26" s="45"/>
      <c r="E26" s="45"/>
      <c r="F26" s="156">
        <f>-87-2</f>
        <v>-89</v>
      </c>
      <c r="G26" s="156">
        <f>-120-2</f>
        <v>-122</v>
      </c>
      <c r="H26" s="156">
        <v>-523</v>
      </c>
      <c r="I26" s="156">
        <v>-93</v>
      </c>
      <c r="J26" s="156">
        <v>-84</v>
      </c>
      <c r="K26" s="135"/>
      <c r="L26" s="156"/>
      <c r="M26" s="156"/>
      <c r="N26" s="156"/>
      <c r="O26" s="156"/>
      <c r="P26" s="156"/>
    </row>
    <row r="27" spans="1:24" s="158" customFormat="1" ht="15.5" x14ac:dyDescent="0.35">
      <c r="A27" s="158" t="s">
        <v>135</v>
      </c>
      <c r="F27" s="160">
        <f>F25+F26</f>
        <v>4027</v>
      </c>
      <c r="G27" s="160">
        <f>G25+G26</f>
        <v>4085</v>
      </c>
      <c r="H27" s="160">
        <f>H25+H26</f>
        <v>4296</v>
      </c>
      <c r="I27" s="160">
        <f>I25+I26</f>
        <v>4341</v>
      </c>
      <c r="J27" s="160">
        <f>J25+J26</f>
        <v>4700</v>
      </c>
      <c r="K27" s="211">
        <f>K114</f>
        <v>0.17527765981050794</v>
      </c>
      <c r="L27" s="160">
        <f>L8*$K$27</f>
        <v>5350.6250039695824</v>
      </c>
      <c r="M27" s="160">
        <f>M8*$K$27</f>
        <v>5605.0853371602971</v>
      </c>
      <c r="N27" s="160">
        <f>N8*$K$27</f>
        <v>5861.3552451585456</v>
      </c>
      <c r="O27" s="160">
        <f>O8*$K$27</f>
        <v>6052.4204915671417</v>
      </c>
      <c r="P27" s="160">
        <f>P8*$K$27</f>
        <v>6271.4437121251158</v>
      </c>
      <c r="R27" s="554">
        <f>RATE(5,,J27,-P27)</f>
        <v>5.938527992985599E-2</v>
      </c>
    </row>
    <row r="28" spans="1:24" s="158" customFormat="1" ht="15.5" x14ac:dyDescent="0.35">
      <c r="F28" s="160"/>
      <c r="G28" s="160"/>
      <c r="H28" s="160"/>
      <c r="I28" s="160"/>
      <c r="J28" s="160"/>
      <c r="K28" s="211"/>
      <c r="L28" s="160"/>
      <c r="M28" s="160"/>
      <c r="N28" s="160"/>
      <c r="O28" s="160"/>
      <c r="P28" s="160"/>
    </row>
    <row r="29" spans="1:24" s="167" customFormat="1" ht="15.5" x14ac:dyDescent="0.35">
      <c r="A29" s="167" t="s">
        <v>162</v>
      </c>
      <c r="F29" s="168">
        <v>0</v>
      </c>
      <c r="G29" s="168">
        <v>0</v>
      </c>
      <c r="H29" s="168">
        <v>1505</v>
      </c>
      <c r="I29" s="168">
        <v>0</v>
      </c>
      <c r="J29" s="168">
        <v>0</v>
      </c>
      <c r="K29" s="214"/>
      <c r="L29" s="168"/>
      <c r="M29" s="168"/>
      <c r="N29" s="168"/>
      <c r="O29" s="168"/>
      <c r="P29" s="168"/>
    </row>
    <row r="30" spans="1:24" x14ac:dyDescent="0.35">
      <c r="A30" s="45" t="s">
        <v>111</v>
      </c>
      <c r="B30" s="45"/>
      <c r="C30" s="45"/>
      <c r="D30" s="45"/>
      <c r="E30" s="45"/>
      <c r="F30" s="156">
        <v>0</v>
      </c>
      <c r="G30" s="156">
        <v>0</v>
      </c>
      <c r="H30" s="156">
        <v>-1505</v>
      </c>
      <c r="I30" s="156">
        <v>0</v>
      </c>
      <c r="J30" s="156">
        <v>0</v>
      </c>
      <c r="K30" s="135"/>
      <c r="L30" s="156"/>
      <c r="M30" s="156"/>
      <c r="N30" s="156"/>
      <c r="O30" s="156"/>
      <c r="P30" s="156"/>
    </row>
    <row r="31" spans="1:24" ht="15.5" x14ac:dyDescent="0.35">
      <c r="A31" s="167" t="s">
        <v>163</v>
      </c>
      <c r="F31" s="114">
        <f>F29+F30</f>
        <v>0</v>
      </c>
      <c r="G31" s="114">
        <f>G29+G30</f>
        <v>0</v>
      </c>
      <c r="H31" s="114">
        <f>H29+H30</f>
        <v>0</v>
      </c>
      <c r="I31" s="114">
        <v>0</v>
      </c>
      <c r="J31" s="114">
        <v>0</v>
      </c>
      <c r="K31" s="135"/>
      <c r="L31" s="114"/>
      <c r="M31" s="114"/>
      <c r="N31" s="114"/>
      <c r="O31" s="114"/>
      <c r="P31" s="114"/>
    </row>
    <row r="32" spans="1:24" ht="15.5" x14ac:dyDescent="0.35">
      <c r="A32" s="167"/>
      <c r="F32" s="114"/>
      <c r="G32" s="114"/>
      <c r="H32" s="114"/>
      <c r="I32" s="114"/>
      <c r="J32" s="114"/>
      <c r="K32" s="135"/>
      <c r="L32" s="114"/>
      <c r="M32" s="114"/>
      <c r="N32" s="114"/>
      <c r="O32" s="114"/>
      <c r="P32" s="114"/>
    </row>
    <row r="33" spans="1:18" s="49" customFormat="1" x14ac:dyDescent="0.35">
      <c r="A33" s="49" t="s">
        <v>136</v>
      </c>
      <c r="F33" s="155">
        <v>5150</v>
      </c>
      <c r="G33" s="155">
        <v>5730</v>
      </c>
      <c r="H33" s="155">
        <v>5368</v>
      </c>
      <c r="I33" s="155">
        <v>5414</v>
      </c>
      <c r="J33" s="155">
        <v>6179</v>
      </c>
      <c r="K33" s="210"/>
      <c r="L33" s="155"/>
      <c r="M33" s="155"/>
      <c r="N33" s="155"/>
      <c r="O33" s="155"/>
      <c r="P33" s="155"/>
    </row>
    <row r="34" spans="1:18" x14ac:dyDescent="0.35">
      <c r="A34" s="45" t="s">
        <v>111</v>
      </c>
      <c r="B34" s="45"/>
      <c r="C34" s="45"/>
      <c r="D34" s="45"/>
      <c r="E34" s="45"/>
      <c r="F34" s="156">
        <f>-38+1</f>
        <v>-37</v>
      </c>
      <c r="G34" s="156">
        <f>-85-2</f>
        <v>-87</v>
      </c>
      <c r="H34" s="156">
        <f>-87-16</f>
        <v>-103</v>
      </c>
      <c r="I34" s="156">
        <v>-144</v>
      </c>
      <c r="J34" s="156">
        <v>-661</v>
      </c>
      <c r="K34" s="135"/>
      <c r="L34" s="156"/>
      <c r="M34" s="156"/>
      <c r="N34" s="156"/>
      <c r="O34" s="156"/>
      <c r="P34" s="156"/>
    </row>
    <row r="35" spans="1:18" ht="15.5" x14ac:dyDescent="0.35">
      <c r="A35" s="158" t="s">
        <v>248</v>
      </c>
      <c r="B35" s="45"/>
      <c r="C35" s="45"/>
      <c r="D35" s="45"/>
      <c r="E35" s="45"/>
      <c r="F35" s="114">
        <f>F38-(F36+F37)</f>
        <v>4307</v>
      </c>
      <c r="G35" s="114">
        <f t="shared" ref="G35:J35" si="9">G38-(G36+G37)</f>
        <v>4842</v>
      </c>
      <c r="H35" s="114">
        <f t="shared" si="9"/>
        <v>4467</v>
      </c>
      <c r="I35" s="114">
        <f t="shared" si="9"/>
        <v>4453</v>
      </c>
      <c r="J35" s="114">
        <f t="shared" si="9"/>
        <v>4647</v>
      </c>
      <c r="K35" s="212">
        <f>K116</f>
        <v>0.18596246745289516</v>
      </c>
      <c r="L35" s="156">
        <f>L$8*$K$35</f>
        <v>5676.7954868238667</v>
      </c>
      <c r="M35" s="156">
        <f>M$8*$K$35</f>
        <v>5946.767549893334</v>
      </c>
      <c r="N35" s="156">
        <f>N$8*$K$35</f>
        <v>6218.6594982272063</v>
      </c>
      <c r="O35" s="156">
        <f>O$8*$K$35</f>
        <v>6421.3719528837237</v>
      </c>
      <c r="P35" s="156">
        <f>P$8*$K$35</f>
        <v>6653.7466808922654</v>
      </c>
    </row>
    <row r="36" spans="1:18" x14ac:dyDescent="0.35">
      <c r="A36" s="45" t="s">
        <v>249</v>
      </c>
      <c r="B36" s="45"/>
      <c r="C36" s="45"/>
      <c r="D36" s="45"/>
      <c r="E36" s="45"/>
      <c r="F36" s="156">
        <v>635</v>
      </c>
      <c r="G36" s="156">
        <v>640</v>
      </c>
      <c r="H36" s="156">
        <v>644</v>
      </c>
      <c r="I36" s="156">
        <v>661</v>
      </c>
      <c r="J36" s="156">
        <v>685</v>
      </c>
      <c r="K36" s="293">
        <f>K117</f>
        <v>2.6722758620014934E-2</v>
      </c>
      <c r="L36" s="156">
        <f>-'FA Schedule'!L9</f>
        <v>510.52631654834238</v>
      </c>
      <c r="M36" s="156">
        <f>-'FA Schedule'!M9</f>
        <v>562.88159182355855</v>
      </c>
      <c r="N36" s="156">
        <f>-'FA Schedule'!N9</f>
        <v>620.60598277468341</v>
      </c>
      <c r="O36" s="156">
        <f>-'FA Schedule'!O9</f>
        <v>684.25010064365506</v>
      </c>
      <c r="P36" s="156">
        <f>-'FA Schedule'!P9</f>
        <v>754.4210227197176</v>
      </c>
      <c r="Q36" s="77">
        <f>SUM(L36:P36)</f>
        <v>3132.685014509957</v>
      </c>
    </row>
    <row r="37" spans="1:18" x14ac:dyDescent="0.35">
      <c r="A37" s="45" t="s">
        <v>228</v>
      </c>
      <c r="B37" s="45"/>
      <c r="C37" s="45"/>
      <c r="D37" s="45"/>
      <c r="E37" s="45"/>
      <c r="F37" s="156">
        <v>171</v>
      </c>
      <c r="G37" s="156">
        <v>161</v>
      </c>
      <c r="H37" s="156">
        <v>154</v>
      </c>
      <c r="I37" s="156">
        <v>156</v>
      </c>
      <c r="J37" s="156">
        <v>186</v>
      </c>
      <c r="K37" s="212"/>
      <c r="L37" s="156"/>
      <c r="M37" s="156"/>
      <c r="N37" s="156"/>
      <c r="O37" s="156"/>
      <c r="P37" s="156"/>
    </row>
    <row r="38" spans="1:18" s="158" customFormat="1" ht="15.5" x14ac:dyDescent="0.35">
      <c r="A38" s="158" t="s">
        <v>137</v>
      </c>
      <c r="F38" s="160">
        <f>F34+F33</f>
        <v>5113</v>
      </c>
      <c r="G38" s="160">
        <f>G34+G33</f>
        <v>5643</v>
      </c>
      <c r="H38" s="160">
        <f>H34+H33</f>
        <v>5265</v>
      </c>
      <c r="I38" s="160">
        <f>I34+I33</f>
        <v>5270</v>
      </c>
      <c r="J38" s="160">
        <f>J34+J33</f>
        <v>5518</v>
      </c>
      <c r="K38" s="211">
        <f>K115</f>
        <v>0.21946191765831152</v>
      </c>
      <c r="L38" s="160">
        <f>SUM(L35:L37)</f>
        <v>6187.3218033722087</v>
      </c>
      <c r="M38" s="160">
        <f t="shared" ref="M38:P38" si="10">SUM(M35:M37)</f>
        <v>6509.6491417168927</v>
      </c>
      <c r="N38" s="160">
        <f t="shared" si="10"/>
        <v>6839.2654810018894</v>
      </c>
      <c r="O38" s="160">
        <f t="shared" si="10"/>
        <v>7105.6220535273787</v>
      </c>
      <c r="P38" s="160">
        <f t="shared" si="10"/>
        <v>7408.1677036119827</v>
      </c>
      <c r="R38" s="554">
        <f>RATE(5,,J38,-P38)</f>
        <v>6.0683521479464292E-2</v>
      </c>
    </row>
    <row r="39" spans="1:18" s="158" customFormat="1" ht="15.5" x14ac:dyDescent="0.35">
      <c r="F39" s="160"/>
      <c r="G39" s="160"/>
      <c r="H39" s="160"/>
      <c r="I39" s="160"/>
      <c r="J39" s="160"/>
      <c r="K39" s="211"/>
      <c r="L39" s="160"/>
      <c r="M39" s="160"/>
      <c r="N39" s="160"/>
      <c r="O39" s="160"/>
      <c r="P39" s="160"/>
    </row>
    <row r="40" spans="1:18" s="158" customFormat="1" ht="15.5" x14ac:dyDescent="0.35">
      <c r="A40" s="167" t="s">
        <v>138</v>
      </c>
      <c r="B40" s="169"/>
      <c r="C40" s="169"/>
      <c r="D40" s="169"/>
      <c r="E40" s="169"/>
      <c r="F40" s="168">
        <v>66</v>
      </c>
      <c r="G40" s="168">
        <v>189</v>
      </c>
      <c r="H40" s="168">
        <v>194</v>
      </c>
      <c r="I40" s="168">
        <v>503</v>
      </c>
      <c r="J40" s="168">
        <v>879</v>
      </c>
      <c r="K40" s="214"/>
      <c r="L40" s="168"/>
      <c r="M40" s="168"/>
      <c r="N40" s="168"/>
      <c r="O40" s="168"/>
      <c r="P40" s="168"/>
    </row>
    <row r="41" spans="1:18" s="158" customFormat="1" ht="15.5" x14ac:dyDescent="0.35">
      <c r="A41" s="45" t="s">
        <v>111</v>
      </c>
      <c r="F41" s="156">
        <v>-66</v>
      </c>
      <c r="G41" s="156">
        <v>-189</v>
      </c>
      <c r="H41" s="156">
        <v>-194</v>
      </c>
      <c r="I41" s="156">
        <v>-503</v>
      </c>
      <c r="J41" s="156">
        <v>-879</v>
      </c>
      <c r="K41" s="135"/>
      <c r="L41" s="156"/>
      <c r="M41" s="156"/>
      <c r="N41" s="156"/>
      <c r="O41" s="156"/>
      <c r="P41" s="156"/>
    </row>
    <row r="42" spans="1:18" ht="15.5" x14ac:dyDescent="0.35">
      <c r="A42" s="158" t="s">
        <v>139</v>
      </c>
      <c r="B42" s="158"/>
      <c r="C42" s="158"/>
      <c r="D42" s="158"/>
      <c r="E42" s="158"/>
      <c r="F42" s="160">
        <f>F41+F40</f>
        <v>0</v>
      </c>
      <c r="G42" s="160">
        <f t="shared" ref="G42:I42" si="11">G41+G40</f>
        <v>0</v>
      </c>
      <c r="H42" s="160">
        <f t="shared" si="11"/>
        <v>0</v>
      </c>
      <c r="I42" s="160">
        <f t="shared" si="11"/>
        <v>0</v>
      </c>
      <c r="J42" s="160">
        <v>0</v>
      </c>
      <c r="K42" s="211"/>
      <c r="L42" s="160">
        <f t="shared" ref="L42:P42" si="12">K42</f>
        <v>0</v>
      </c>
      <c r="M42" s="160">
        <f t="shared" si="12"/>
        <v>0</v>
      </c>
      <c r="N42" s="160">
        <f t="shared" si="12"/>
        <v>0</v>
      </c>
      <c r="O42" s="160">
        <f t="shared" si="12"/>
        <v>0</v>
      </c>
      <c r="P42" s="160">
        <f t="shared" si="12"/>
        <v>0</v>
      </c>
    </row>
    <row r="43" spans="1:18" x14ac:dyDescent="0.35">
      <c r="F43" s="114"/>
      <c r="G43" s="114"/>
      <c r="H43" s="114"/>
      <c r="I43" s="114"/>
      <c r="J43" s="114"/>
      <c r="K43" s="135"/>
      <c r="L43" s="114"/>
      <c r="M43" s="114"/>
      <c r="N43" s="114"/>
      <c r="O43" s="114"/>
      <c r="P43" s="114"/>
    </row>
    <row r="44" spans="1:18" s="49" customFormat="1" x14ac:dyDescent="0.35">
      <c r="A44" s="49" t="s">
        <v>118</v>
      </c>
      <c r="F44" s="155">
        <f>F33+F25+F15+F40</f>
        <v>13688</v>
      </c>
      <c r="G44" s="155">
        <f>G33+G25+G15+G40</f>
        <v>16285</v>
      </c>
      <c r="H44" s="155">
        <f>H33+H25+H15+H40+H29</f>
        <v>18340</v>
      </c>
      <c r="I44" s="155">
        <f>I33+I25+I15+I40</f>
        <v>16757</v>
      </c>
      <c r="J44" s="155">
        <v>20293</v>
      </c>
      <c r="K44" s="210"/>
      <c r="L44" s="155"/>
      <c r="M44" s="155"/>
      <c r="N44" s="155"/>
      <c r="O44" s="155"/>
      <c r="P44" s="155"/>
    </row>
    <row r="45" spans="1:18" x14ac:dyDescent="0.35">
      <c r="A45" s="45" t="s">
        <v>119</v>
      </c>
      <c r="B45" s="45"/>
      <c r="C45" s="45"/>
      <c r="D45" s="45"/>
      <c r="E45" s="45"/>
      <c r="F45" s="156">
        <f>F34+F26+F16+F41</f>
        <v>-1483</v>
      </c>
      <c r="G45" s="156">
        <f>G34+G26+G16+G41</f>
        <v>-3195</v>
      </c>
      <c r="H45" s="156">
        <f>H34+H26+H16+H41+H30</f>
        <v>-4785</v>
      </c>
      <c r="I45" s="156">
        <f>I34+I26+I16+I41</f>
        <v>-3195</v>
      </c>
      <c r="J45" s="156">
        <v>-5502</v>
      </c>
      <c r="K45" s="135"/>
      <c r="L45" s="156"/>
      <c r="M45" s="156"/>
      <c r="N45" s="156"/>
      <c r="O45" s="156"/>
      <c r="P45" s="156"/>
    </row>
    <row r="46" spans="1:18" s="158" customFormat="1" ht="15.5" x14ac:dyDescent="0.35">
      <c r="A46" s="158" t="s">
        <v>120</v>
      </c>
      <c r="F46" s="160">
        <f>F44+F45</f>
        <v>12205</v>
      </c>
      <c r="G46" s="160">
        <f t="shared" ref="G46:J46" si="13">G44+G45</f>
        <v>13090</v>
      </c>
      <c r="H46" s="160">
        <f t="shared" si="13"/>
        <v>13555</v>
      </c>
      <c r="I46" s="160">
        <f t="shared" si="13"/>
        <v>13562</v>
      </c>
      <c r="J46" s="160">
        <f t="shared" si="13"/>
        <v>14791</v>
      </c>
      <c r="K46" s="211"/>
      <c r="L46" s="160">
        <f>L38+L27+L19</f>
        <v>17644.362984356612</v>
      </c>
      <c r="M46" s="160">
        <f>M38+M27+M19</f>
        <v>18174.879518675509</v>
      </c>
      <c r="N46" s="160">
        <f>N38+N27+N19</f>
        <v>18685.773624915484</v>
      </c>
      <c r="O46" s="160">
        <f>O38+O27+O19</f>
        <v>18974.751846965228</v>
      </c>
      <c r="P46" s="160">
        <f>P38+P27+P19</f>
        <v>19330.113923468805</v>
      </c>
      <c r="R46" s="554">
        <f>RATE(5,,J46,-P46)</f>
        <v>5.4987649078180205E-2</v>
      </c>
    </row>
    <row r="47" spans="1:18" x14ac:dyDescent="0.35">
      <c r="F47" s="114"/>
      <c r="G47" s="114"/>
      <c r="H47" s="114"/>
      <c r="I47" s="114"/>
      <c r="J47" s="114"/>
      <c r="K47" s="135"/>
      <c r="L47" s="114"/>
      <c r="M47" s="114"/>
      <c r="N47" s="114"/>
      <c r="O47" s="114"/>
      <c r="P47" s="114"/>
    </row>
    <row r="48" spans="1:18" s="49" customFormat="1" x14ac:dyDescent="0.35">
      <c r="A48" s="49" t="s">
        <v>121</v>
      </c>
      <c r="F48" s="155">
        <f>F10-F44</f>
        <v>9674</v>
      </c>
      <c r="G48" s="155">
        <f>G10-G44</f>
        <v>9139</v>
      </c>
      <c r="H48" s="155">
        <f>H10-H44</f>
        <v>7639</v>
      </c>
      <c r="I48" s="155">
        <f>I10-I44</f>
        <v>9566</v>
      </c>
      <c r="J48" s="155">
        <f>J10-J44</f>
        <v>7897</v>
      </c>
      <c r="K48" s="210"/>
      <c r="L48" s="155"/>
      <c r="M48" s="155"/>
      <c r="N48" s="155"/>
      <c r="O48" s="155"/>
      <c r="P48" s="155"/>
    </row>
    <row r="49" spans="1:20" s="172" customFormat="1" x14ac:dyDescent="0.35">
      <c r="A49" s="170" t="s">
        <v>111</v>
      </c>
      <c r="B49" s="170"/>
      <c r="C49" s="170"/>
      <c r="D49" s="170"/>
      <c r="E49" s="170"/>
      <c r="F49" s="171">
        <v>1483</v>
      </c>
      <c r="G49" s="171">
        <v>3195</v>
      </c>
      <c r="H49" s="171">
        <v>4785</v>
      </c>
      <c r="I49" s="171">
        <v>3195</v>
      </c>
      <c r="J49" s="171">
        <v>5502</v>
      </c>
      <c r="K49" s="135"/>
      <c r="L49" s="171"/>
      <c r="M49" s="171"/>
      <c r="N49" s="171"/>
      <c r="O49" s="171"/>
      <c r="P49" s="171"/>
    </row>
    <row r="50" spans="1:20" s="158" customFormat="1" ht="15.5" x14ac:dyDescent="0.35">
      <c r="A50" s="173" t="s">
        <v>122</v>
      </c>
      <c r="B50" s="173"/>
      <c r="C50" s="173"/>
      <c r="D50" s="173"/>
      <c r="E50" s="173" t="s">
        <v>141</v>
      </c>
      <c r="F50" s="174">
        <f>F12-F46</f>
        <v>11157</v>
      </c>
      <c r="G50" s="174">
        <f t="shared" ref="G50:P50" si="14">G12-G46</f>
        <v>12334</v>
      </c>
      <c r="H50" s="174">
        <f t="shared" si="14"/>
        <v>12424</v>
      </c>
      <c r="I50" s="174">
        <f t="shared" si="14"/>
        <v>12761</v>
      </c>
      <c r="J50" s="174">
        <f t="shared" si="14"/>
        <v>13399</v>
      </c>
      <c r="K50" s="215"/>
      <c r="L50" s="174">
        <f t="shared" si="14"/>
        <v>14494.669526247697</v>
      </c>
      <c r="M50" s="174">
        <f t="shared" si="14"/>
        <v>15492.592924648488</v>
      </c>
      <c r="N50" s="174">
        <f t="shared" si="14"/>
        <v>16521.008132467134</v>
      </c>
      <c r="O50" s="174">
        <f t="shared" si="14"/>
        <v>17379.681289726679</v>
      </c>
      <c r="P50" s="174">
        <f t="shared" si="14"/>
        <v>18339.902794742582</v>
      </c>
      <c r="R50" s="554">
        <f>RATE(5,,J50,-P50)</f>
        <v>6.4792365163564306E-2</v>
      </c>
    </row>
    <row r="51" spans="1:20" x14ac:dyDescent="0.35">
      <c r="F51" s="114"/>
      <c r="G51" s="114"/>
      <c r="H51" s="114"/>
      <c r="I51" s="114"/>
      <c r="J51" s="114"/>
      <c r="K51" s="135"/>
      <c r="L51" s="190"/>
      <c r="M51" s="190"/>
      <c r="N51" s="190"/>
      <c r="O51" s="190"/>
      <c r="P51" s="190"/>
      <c r="T51" s="58"/>
    </row>
    <row r="52" spans="1:20" s="175" customFormat="1" x14ac:dyDescent="0.35">
      <c r="A52" s="165" t="s">
        <v>143</v>
      </c>
      <c r="B52" s="165"/>
      <c r="C52" s="165"/>
      <c r="D52" s="165"/>
      <c r="E52" s="165" t="s">
        <v>144</v>
      </c>
      <c r="F52" s="166">
        <f>F50/F12</f>
        <v>0.47757041349199553</v>
      </c>
      <c r="G52" s="166">
        <f>G50/G12</f>
        <v>0.48513215859030839</v>
      </c>
      <c r="H52" s="166">
        <f>H50/H12</f>
        <v>0.47823241849185882</v>
      </c>
      <c r="I52" s="166">
        <f>I50/I12</f>
        <v>0.48478516886373135</v>
      </c>
      <c r="J52" s="166">
        <f>J50/J12</f>
        <v>0.47531039375665129</v>
      </c>
      <c r="K52" s="222"/>
      <c r="L52" s="166">
        <f>L50/L12</f>
        <v>0.45099893786364492</v>
      </c>
      <c r="M52" s="166">
        <f>M50/M12</f>
        <v>0.460165013893716</v>
      </c>
      <c r="N52" s="166">
        <f>N50/N12</f>
        <v>0.46925641333300205</v>
      </c>
      <c r="O52" s="166">
        <f>O50/O12</f>
        <v>0.47806222763478229</v>
      </c>
      <c r="P52" s="166">
        <f>P50/P12</f>
        <v>0.48685677343690281</v>
      </c>
      <c r="T52" s="176"/>
    </row>
    <row r="53" spans="1:20" x14ac:dyDescent="0.35">
      <c r="F53" s="114"/>
      <c r="G53" s="114"/>
      <c r="H53" s="114"/>
      <c r="I53" s="114"/>
      <c r="J53" s="114"/>
      <c r="K53" s="135"/>
      <c r="L53" s="114"/>
      <c r="M53" s="114"/>
      <c r="N53" s="114"/>
      <c r="O53" s="114"/>
      <c r="P53" s="114"/>
    </row>
    <row r="54" spans="1:20" s="48" customFormat="1" ht="15.5" x14ac:dyDescent="0.35">
      <c r="A54" s="48" t="s">
        <v>359</v>
      </c>
      <c r="F54" s="164">
        <f>F50+F37+F36+F18</f>
        <v>13363</v>
      </c>
      <c r="G54" s="164">
        <f t="shared" ref="G54:P54" si="15">G50+G37+G36+G18</f>
        <v>15935</v>
      </c>
      <c r="H54" s="164">
        <f t="shared" si="15"/>
        <v>15822</v>
      </c>
      <c r="I54" s="164">
        <f t="shared" si="15"/>
        <v>16178</v>
      </c>
      <c r="J54" s="164">
        <f t="shared" si="15"/>
        <v>17470</v>
      </c>
      <c r="K54" s="212"/>
      <c r="L54" s="164">
        <f t="shared" si="15"/>
        <v>19805.195842796042</v>
      </c>
      <c r="M54" s="164">
        <f t="shared" si="15"/>
        <v>20555.474516472044</v>
      </c>
      <c r="N54" s="164">
        <f t="shared" si="15"/>
        <v>21041.614115241817</v>
      </c>
      <c r="O54" s="164">
        <f t="shared" si="15"/>
        <v>21963.931390370333</v>
      </c>
      <c r="P54" s="164">
        <f t="shared" si="15"/>
        <v>21994.3238174623</v>
      </c>
      <c r="R54" s="554">
        <f>RATE(5,,J54,-P54)</f>
        <v>4.7137088115591502E-2</v>
      </c>
    </row>
    <row r="55" spans="1:20" s="48" customFormat="1" x14ac:dyDescent="0.35">
      <c r="F55" s="164"/>
      <c r="G55" s="164"/>
      <c r="H55" s="164"/>
      <c r="I55" s="164"/>
      <c r="J55" s="164"/>
      <c r="K55" s="212"/>
      <c r="L55" s="164"/>
      <c r="M55" s="164"/>
      <c r="N55" s="164"/>
      <c r="O55" s="164"/>
      <c r="P55" s="164"/>
    </row>
    <row r="56" spans="1:20" s="175" customFormat="1" x14ac:dyDescent="0.35">
      <c r="A56" s="175" t="s">
        <v>360</v>
      </c>
      <c r="F56" s="354">
        <f>F54/F12</f>
        <v>0.57199726050851807</v>
      </c>
      <c r="G56" s="354">
        <f t="shared" ref="G56:P56" si="16">G54/G12</f>
        <v>0.62676998112020144</v>
      </c>
      <c r="H56" s="354">
        <f t="shared" si="16"/>
        <v>0.609030370684014</v>
      </c>
      <c r="I56" s="354">
        <f t="shared" si="16"/>
        <v>0.61459560080537934</v>
      </c>
      <c r="J56" s="354">
        <f t="shared" si="16"/>
        <v>0.61972330613692794</v>
      </c>
      <c r="K56" s="353"/>
      <c r="L56" s="354">
        <f t="shared" si="16"/>
        <v>0.61623497335401423</v>
      </c>
      <c r="M56" s="354">
        <f t="shared" si="16"/>
        <v>0.61054403626750542</v>
      </c>
      <c r="N56" s="354">
        <f t="shared" si="16"/>
        <v>0.59765798135836534</v>
      </c>
      <c r="O56" s="354">
        <f t="shared" si="16"/>
        <v>0.6041610195869761</v>
      </c>
      <c r="P56" s="354">
        <f t="shared" si="16"/>
        <v>0.5838681724510425</v>
      </c>
    </row>
    <row r="57" spans="1:20" x14ac:dyDescent="0.35">
      <c r="F57" s="114"/>
      <c r="G57" s="114"/>
      <c r="H57" s="114"/>
      <c r="I57" s="114"/>
      <c r="J57" s="114"/>
      <c r="K57" s="135"/>
      <c r="L57" s="114"/>
      <c r="M57" s="114"/>
      <c r="N57" s="114"/>
      <c r="O57" s="114"/>
      <c r="P57" s="114"/>
    </row>
    <row r="58" spans="1:20" x14ac:dyDescent="0.35">
      <c r="A58" s="12" t="s">
        <v>161</v>
      </c>
      <c r="F58" s="114">
        <v>-1289</v>
      </c>
      <c r="G58" s="114">
        <v>-1262</v>
      </c>
      <c r="H58" s="114">
        <v>-1197</v>
      </c>
      <c r="I58" s="114">
        <v>-1406</v>
      </c>
      <c r="J58" s="114">
        <v>-2875</v>
      </c>
      <c r="K58" s="216"/>
      <c r="L58" s="114"/>
      <c r="M58" s="114"/>
      <c r="N58" s="114"/>
      <c r="O58" s="114"/>
      <c r="P58" s="114"/>
    </row>
    <row r="59" spans="1:20" x14ac:dyDescent="0.35">
      <c r="A59" s="45" t="s">
        <v>111</v>
      </c>
      <c r="F59" s="156">
        <v>0</v>
      </c>
      <c r="G59" s="156">
        <v>0</v>
      </c>
      <c r="H59" s="156">
        <v>0</v>
      </c>
      <c r="I59" s="156">
        <v>5</v>
      </c>
      <c r="J59" s="156">
        <v>807</v>
      </c>
      <c r="K59" s="135"/>
      <c r="L59" s="156"/>
      <c r="M59" s="156"/>
      <c r="N59" s="156"/>
      <c r="O59" s="156"/>
      <c r="P59" s="156"/>
    </row>
    <row r="60" spans="1:20" ht="15.5" x14ac:dyDescent="0.35">
      <c r="A60" s="48" t="s">
        <v>164</v>
      </c>
      <c r="B60" s="48"/>
      <c r="C60" s="48"/>
      <c r="D60" s="48"/>
      <c r="E60" s="48"/>
      <c r="F60" s="177">
        <f>F59+F58</f>
        <v>-1289</v>
      </c>
      <c r="G60" s="177">
        <f>G59+G58</f>
        <v>-1262</v>
      </c>
      <c r="H60" s="177">
        <f>H59+H58</f>
        <v>-1197</v>
      </c>
      <c r="I60" s="177">
        <f>I59+I58</f>
        <v>-1401</v>
      </c>
      <c r="J60" s="177">
        <f>J59+J58</f>
        <v>-2068</v>
      </c>
      <c r="K60" s="212"/>
      <c r="L60" s="160">
        <f>('Debt Schedule'!F18)</f>
        <v>-2621.0098629864319</v>
      </c>
      <c r="M60" s="160">
        <f>('Debt Schedule'!G18)</f>
        <v>-2564.09752587517</v>
      </c>
      <c r="N60" s="160">
        <f>('Debt Schedule'!H18)</f>
        <v>-2340.9914288602445</v>
      </c>
      <c r="O60" s="160">
        <f>('Debt Schedule'!I18)</f>
        <v>-2090.1796110705563</v>
      </c>
      <c r="P60" s="160">
        <f>('Debt Schedule'!J18)</f>
        <v>-1979.6812459308007</v>
      </c>
      <c r="Q60" s="355" t="s">
        <v>361</v>
      </c>
    </row>
    <row r="61" spans="1:20" x14ac:dyDescent="0.35">
      <c r="A61" s="45"/>
      <c r="F61" s="114"/>
      <c r="G61" s="114"/>
      <c r="H61" s="114"/>
      <c r="I61" s="114"/>
      <c r="J61" s="114"/>
      <c r="K61" s="135"/>
      <c r="L61" s="114"/>
      <c r="M61" s="114"/>
      <c r="N61" s="114"/>
      <c r="O61" s="114"/>
      <c r="P61" s="114"/>
    </row>
    <row r="62" spans="1:20" s="49" customFormat="1" x14ac:dyDescent="0.35">
      <c r="A62" s="49" t="s">
        <v>123</v>
      </c>
      <c r="F62" s="155">
        <v>753</v>
      </c>
      <c r="G62" s="155">
        <v>256</v>
      </c>
      <c r="H62" s="155">
        <v>259</v>
      </c>
      <c r="I62" s="155">
        <v>-814</v>
      </c>
      <c r="J62" s="155">
        <v>2833</v>
      </c>
      <c r="K62" s="210"/>
      <c r="L62" s="155"/>
      <c r="M62" s="155"/>
      <c r="N62" s="155"/>
      <c r="O62" s="155"/>
      <c r="P62" s="155"/>
    </row>
    <row r="63" spans="1:20" x14ac:dyDescent="0.35">
      <c r="A63" s="45" t="s">
        <v>111</v>
      </c>
      <c r="B63" s="45"/>
      <c r="C63" s="45"/>
      <c r="D63" s="45"/>
      <c r="E63" s="45"/>
      <c r="F63" s="156">
        <v>0</v>
      </c>
      <c r="G63" s="156"/>
      <c r="H63" s="156">
        <f>173-421</f>
        <v>-248</v>
      </c>
      <c r="I63" s="156">
        <f>192+362</f>
        <v>554</v>
      </c>
      <c r="J63" s="156">
        <f>-625-1522</f>
        <v>-2147</v>
      </c>
      <c r="K63" s="135"/>
      <c r="L63" s="156"/>
      <c r="M63" s="156"/>
      <c r="N63" s="156"/>
      <c r="O63" s="156"/>
      <c r="P63" s="156"/>
    </row>
    <row r="64" spans="1:20" s="158" customFormat="1" ht="15.5" x14ac:dyDescent="0.35">
      <c r="A64" s="158" t="s">
        <v>124</v>
      </c>
      <c r="F64" s="160">
        <f>F63+F62</f>
        <v>753</v>
      </c>
      <c r="G64" s="160">
        <f t="shared" ref="G64:J64" si="17">G63+G62</f>
        <v>256</v>
      </c>
      <c r="H64" s="160">
        <f t="shared" si="17"/>
        <v>11</v>
      </c>
      <c r="I64" s="160">
        <f t="shared" si="17"/>
        <v>-260</v>
      </c>
      <c r="J64" s="160">
        <f t="shared" si="17"/>
        <v>686</v>
      </c>
      <c r="K64" s="211"/>
      <c r="L64" s="160"/>
      <c r="M64" s="160"/>
      <c r="N64" s="160"/>
      <c r="O64" s="160"/>
      <c r="P64" s="160"/>
    </row>
    <row r="65" spans="1:18" x14ac:dyDescent="0.35">
      <c r="F65" s="114"/>
      <c r="G65" s="114"/>
      <c r="H65" s="114"/>
      <c r="I65" s="114"/>
      <c r="J65" s="114"/>
      <c r="K65" s="135"/>
      <c r="L65" s="114"/>
      <c r="M65" s="114"/>
      <c r="N65" s="114"/>
      <c r="O65" s="114"/>
      <c r="P65" s="114"/>
    </row>
    <row r="66" spans="1:18" s="49" customFormat="1" x14ac:dyDescent="0.35">
      <c r="A66" s="49" t="s">
        <v>125</v>
      </c>
      <c r="F66" s="155">
        <f t="shared" ref="F66:I66" si="18">F48+F58+F62</f>
        <v>9138</v>
      </c>
      <c r="G66" s="155">
        <f t="shared" si="18"/>
        <v>8133</v>
      </c>
      <c r="H66" s="155">
        <f t="shared" si="18"/>
        <v>6701</v>
      </c>
      <c r="I66" s="155">
        <f t="shared" si="18"/>
        <v>7346</v>
      </c>
      <c r="J66" s="155">
        <f>J48+J58+J62</f>
        <v>7855</v>
      </c>
      <c r="K66" s="210"/>
      <c r="L66" s="155"/>
      <c r="M66" s="155"/>
      <c r="N66" s="155"/>
      <c r="O66" s="155"/>
      <c r="P66" s="155"/>
    </row>
    <row r="67" spans="1:18" x14ac:dyDescent="0.35">
      <c r="A67" s="45" t="s">
        <v>111</v>
      </c>
      <c r="B67" s="45"/>
      <c r="C67" s="45"/>
      <c r="D67" s="45"/>
      <c r="E67" s="45"/>
      <c r="F67" s="156">
        <v>1483</v>
      </c>
      <c r="G67" s="156">
        <f>3195+37</f>
        <v>3232</v>
      </c>
      <c r="H67" s="178">
        <f>4785-248</f>
        <v>4537</v>
      </c>
      <c r="I67" s="156">
        <f>3195+5+554</f>
        <v>3754</v>
      </c>
      <c r="J67" s="156">
        <f>5502+807-2147</f>
        <v>4162</v>
      </c>
      <c r="K67" s="135"/>
      <c r="L67" s="156"/>
      <c r="M67" s="156"/>
      <c r="N67" s="156"/>
      <c r="O67" s="156"/>
      <c r="P67" s="156"/>
    </row>
    <row r="68" spans="1:18" s="158" customFormat="1" ht="15.5" x14ac:dyDescent="0.35">
      <c r="A68" s="158" t="s">
        <v>126</v>
      </c>
      <c r="F68" s="160">
        <f>F67+F66</f>
        <v>10621</v>
      </c>
      <c r="G68" s="160">
        <f>G67+G66</f>
        <v>11365</v>
      </c>
      <c r="H68" s="160">
        <f t="shared" ref="H68:I68" si="19">H67+H66</f>
        <v>11238</v>
      </c>
      <c r="I68" s="160">
        <f t="shared" si="19"/>
        <v>11100</v>
      </c>
      <c r="J68" s="160">
        <f>J67+J66</f>
        <v>12017</v>
      </c>
      <c r="K68" s="211"/>
      <c r="L68" s="160">
        <f>L50+L60</f>
        <v>11873.659663261265</v>
      </c>
      <c r="M68" s="160">
        <f t="shared" ref="M68:P68" si="20">M50+M60</f>
        <v>12928.495398773319</v>
      </c>
      <c r="N68" s="160">
        <f t="shared" si="20"/>
        <v>14180.016703606889</v>
      </c>
      <c r="O68" s="160">
        <f t="shared" si="20"/>
        <v>15289.501678656123</v>
      </c>
      <c r="P68" s="160">
        <f t="shared" si="20"/>
        <v>16360.221548811782</v>
      </c>
    </row>
    <row r="69" spans="1:18" x14ac:dyDescent="0.35">
      <c r="F69" s="114"/>
      <c r="G69" s="114"/>
      <c r="H69" s="114"/>
      <c r="I69" s="114"/>
      <c r="J69" s="114"/>
      <c r="K69" s="135"/>
      <c r="L69" s="114"/>
      <c r="M69" s="114"/>
      <c r="N69" s="114"/>
      <c r="O69" s="114"/>
      <c r="P69" s="114"/>
    </row>
    <row r="70" spans="1:18" s="49" customFormat="1" x14ac:dyDescent="0.35">
      <c r="A70" s="49" t="s">
        <v>127</v>
      </c>
      <c r="F70" s="155">
        <v>1296</v>
      </c>
      <c r="G70" s="155">
        <v>869</v>
      </c>
      <c r="H70" s="155">
        <v>808</v>
      </c>
      <c r="I70" s="155">
        <v>794</v>
      </c>
      <c r="J70" s="155">
        <v>1138</v>
      </c>
      <c r="K70" s="210"/>
      <c r="L70" s="155"/>
      <c r="M70" s="155"/>
      <c r="N70" s="155"/>
      <c r="O70" s="155"/>
      <c r="P70" s="155"/>
    </row>
    <row r="71" spans="1:18" x14ac:dyDescent="0.35">
      <c r="A71" s="45" t="s">
        <v>117</v>
      </c>
      <c r="B71" s="45"/>
      <c r="C71" s="45"/>
      <c r="D71" s="45"/>
      <c r="E71" s="45"/>
      <c r="F71" s="156">
        <f>329-32</f>
        <v>297</v>
      </c>
      <c r="G71" s="156">
        <f>634+67</f>
        <v>701</v>
      </c>
      <c r="H71" s="156">
        <f>630+3</f>
        <v>633</v>
      </c>
      <c r="I71" s="156">
        <f>690+46</f>
        <v>736</v>
      </c>
      <c r="J71" s="156">
        <f>846-1</f>
        <v>845</v>
      </c>
      <c r="K71" s="135"/>
      <c r="L71" s="156"/>
      <c r="M71" s="156"/>
      <c r="N71" s="156"/>
      <c r="O71" s="156"/>
      <c r="P71" s="156"/>
    </row>
    <row r="72" spans="1:18" s="158" customFormat="1" ht="15.5" x14ac:dyDescent="0.35">
      <c r="A72" s="158" t="s">
        <v>128</v>
      </c>
      <c r="F72" s="160">
        <f>F70+F71</f>
        <v>1593</v>
      </c>
      <c r="G72" s="160">
        <f t="shared" ref="G72:J72" si="21">G70+G71</f>
        <v>1570</v>
      </c>
      <c r="H72" s="160">
        <f t="shared" si="21"/>
        <v>1441</v>
      </c>
      <c r="I72" s="160">
        <f t="shared" si="21"/>
        <v>1530</v>
      </c>
      <c r="J72" s="160">
        <f t="shared" si="21"/>
        <v>1983</v>
      </c>
      <c r="K72" s="211">
        <v>0.21</v>
      </c>
      <c r="L72" s="160">
        <f>L68*$K$72</f>
        <v>2493.4685292848658</v>
      </c>
      <c r="M72" s="160">
        <f>M68*$K$72</f>
        <v>2714.9840337423971</v>
      </c>
      <c r="N72" s="160">
        <f>N68*$K$72</f>
        <v>2977.8035077574464</v>
      </c>
      <c r="O72" s="160">
        <f>O68*$K$72</f>
        <v>3210.7953525177854</v>
      </c>
      <c r="P72" s="160">
        <f>P68*$K$72</f>
        <v>3435.646525250474</v>
      </c>
    </row>
    <row r="73" spans="1:18" x14ac:dyDescent="0.35">
      <c r="F73" s="454">
        <f t="shared" ref="F73:I73" si="22">F72/F68</f>
        <v>0.14998587703606064</v>
      </c>
      <c r="G73" s="454">
        <f t="shared" si="22"/>
        <v>0.13814342278926528</v>
      </c>
      <c r="H73" s="454">
        <f t="shared" si="22"/>
        <v>0.12822566292934687</v>
      </c>
      <c r="I73" s="454">
        <f t="shared" si="22"/>
        <v>0.13783783783783785</v>
      </c>
      <c r="J73" s="454">
        <f>J72/J68</f>
        <v>0.16501622701173338</v>
      </c>
      <c r="K73" s="135"/>
      <c r="L73" s="114"/>
      <c r="M73" s="114"/>
      <c r="N73" s="114"/>
      <c r="O73" s="114"/>
      <c r="P73" s="114"/>
    </row>
    <row r="74" spans="1:18" s="49" customFormat="1" x14ac:dyDescent="0.35">
      <c r="A74" s="49" t="s">
        <v>129</v>
      </c>
      <c r="F74" s="155">
        <f>F66-F70</f>
        <v>7842</v>
      </c>
      <c r="G74" s="155">
        <f>G66-G70</f>
        <v>7264</v>
      </c>
      <c r="H74" s="155">
        <f>H66-H70</f>
        <v>5893</v>
      </c>
      <c r="I74" s="155">
        <f>I66-I70</f>
        <v>6552</v>
      </c>
      <c r="J74" s="155">
        <f>J66-J70</f>
        <v>6717</v>
      </c>
      <c r="K74" s="210"/>
      <c r="L74" s="155"/>
      <c r="M74" s="155"/>
      <c r="N74" s="155"/>
      <c r="O74" s="155"/>
      <c r="P74" s="155"/>
    </row>
    <row r="75" spans="1:18" x14ac:dyDescent="0.35">
      <c r="A75" s="45" t="s">
        <v>111</v>
      </c>
      <c r="B75" s="45"/>
      <c r="C75" s="45"/>
      <c r="D75" s="45"/>
      <c r="E75" s="45"/>
      <c r="F75" s="156">
        <f>F67-F71</f>
        <v>1186</v>
      </c>
      <c r="G75" s="156">
        <f>2598-67</f>
        <v>2531</v>
      </c>
      <c r="H75" s="156">
        <f>3907-3</f>
        <v>3904</v>
      </c>
      <c r="I75" s="156">
        <f>3064-46</f>
        <v>3018</v>
      </c>
      <c r="J75" s="156">
        <f>3316+1</f>
        <v>3317</v>
      </c>
      <c r="K75" s="133"/>
      <c r="L75" s="156"/>
      <c r="M75" s="156"/>
      <c r="N75" s="156"/>
      <c r="O75" s="156"/>
      <c r="P75" s="156"/>
    </row>
    <row r="76" spans="1:18" s="158" customFormat="1" ht="15.5" x14ac:dyDescent="0.35">
      <c r="A76" s="173" t="s">
        <v>130</v>
      </c>
      <c r="B76" s="173"/>
      <c r="C76" s="173"/>
      <c r="D76" s="173"/>
      <c r="E76" s="173"/>
      <c r="F76" s="174">
        <f>F74+F75</f>
        <v>9028</v>
      </c>
      <c r="G76" s="174">
        <f t="shared" ref="G76:J76" si="23">G74+G75</f>
        <v>9795</v>
      </c>
      <c r="H76" s="174">
        <f>H74+H75</f>
        <v>9797</v>
      </c>
      <c r="I76" s="174">
        <f t="shared" si="23"/>
        <v>9570</v>
      </c>
      <c r="J76" s="174">
        <f t="shared" si="23"/>
        <v>10034</v>
      </c>
      <c r="K76" s="217"/>
      <c r="L76" s="174">
        <f>L68-L72</f>
        <v>9380.1911339763992</v>
      </c>
      <c r="M76" s="174">
        <f t="shared" ref="M76:P76" si="24">M68-M72</f>
        <v>10213.511365030921</v>
      </c>
      <c r="N76" s="174">
        <f t="shared" si="24"/>
        <v>11202.213195849443</v>
      </c>
      <c r="O76" s="174">
        <f t="shared" si="24"/>
        <v>12078.706326138337</v>
      </c>
      <c r="P76" s="174">
        <f t="shared" si="24"/>
        <v>12924.575023561309</v>
      </c>
      <c r="R76" s="554">
        <f>RATE(5,,J76,-P76)</f>
        <v>5.1933861161341792E-2</v>
      </c>
    </row>
    <row r="77" spans="1:18" x14ac:dyDescent="0.35">
      <c r="F77" s="52"/>
      <c r="G77" s="52"/>
      <c r="H77" s="52"/>
      <c r="I77" s="52"/>
      <c r="J77" s="52"/>
      <c r="K77" s="132"/>
      <c r="L77" s="52"/>
      <c r="M77" s="52"/>
      <c r="N77" s="52"/>
      <c r="O77" s="52"/>
      <c r="P77" s="52"/>
    </row>
    <row r="78" spans="1:18" s="175" customFormat="1" x14ac:dyDescent="0.35">
      <c r="A78" s="165" t="s">
        <v>146</v>
      </c>
      <c r="B78" s="165"/>
      <c r="C78" s="165"/>
      <c r="D78" s="165"/>
      <c r="E78" s="165"/>
      <c r="F78" s="166">
        <f>F76/F12</f>
        <v>0.38643951716462632</v>
      </c>
      <c r="G78" s="166">
        <f>G76/G12</f>
        <v>0.38526589049716803</v>
      </c>
      <c r="H78" s="166">
        <f>H76/H12</f>
        <v>0.37711228299780591</v>
      </c>
      <c r="I78" s="166">
        <f>I76/I12</f>
        <v>0.36356038445465944</v>
      </c>
      <c r="J78" s="166">
        <f>J76/J12</f>
        <v>0.35594182334161051</v>
      </c>
      <c r="K78" s="222"/>
      <c r="L78" s="166">
        <f>L76/L8</f>
        <v>0.30727960739518956</v>
      </c>
      <c r="M78" s="166">
        <f>M76/M8</f>
        <v>0.3193886021042483</v>
      </c>
      <c r="N78" s="166">
        <f>N76/N8</f>
        <v>0.33499039582846002</v>
      </c>
      <c r="O78" s="166">
        <f>O76/O8</f>
        <v>0.34979846184410129</v>
      </c>
      <c r="P78" s="166">
        <f>P76/P8</f>
        <v>0.36122292858904193</v>
      </c>
    </row>
    <row r="79" spans="1:18" ht="15" customHeight="1" x14ac:dyDescent="0.35">
      <c r="F79" s="52"/>
      <c r="G79" s="52"/>
      <c r="H79" s="52"/>
      <c r="I79" s="52"/>
      <c r="J79" s="52"/>
      <c r="K79" s="132"/>
      <c r="L79" s="52"/>
      <c r="M79" s="52"/>
      <c r="N79" s="52"/>
      <c r="O79" s="52"/>
      <c r="P79" s="52"/>
    </row>
    <row r="80" spans="1:18" ht="15.5" customHeight="1" x14ac:dyDescent="0.35">
      <c r="A80" s="179" t="s">
        <v>149</v>
      </c>
      <c r="B80" s="180"/>
      <c r="C80" s="180"/>
      <c r="D80" s="180"/>
      <c r="E80" s="180"/>
      <c r="F80" s="181"/>
      <c r="G80" s="181"/>
      <c r="H80" s="181"/>
      <c r="I80" s="181"/>
      <c r="J80" s="181"/>
      <c r="K80" s="223"/>
      <c r="L80" s="181"/>
      <c r="M80" s="181"/>
      <c r="N80" s="181"/>
      <c r="O80" s="181"/>
      <c r="P80" s="182"/>
    </row>
    <row r="81" spans="1:18" x14ac:dyDescent="0.35">
      <c r="A81" s="183"/>
      <c r="E81" s="12" t="s">
        <v>148</v>
      </c>
      <c r="F81" s="184">
        <f>F76/F85</f>
        <v>14.922314049586777</v>
      </c>
      <c r="G81" s="184">
        <f>G76/G85</f>
        <v>16.715017064846418</v>
      </c>
      <c r="H81" s="184">
        <f>H76/H85</f>
        <v>17.187719298245614</v>
      </c>
      <c r="I81" s="184">
        <f>I76/I85</f>
        <v>17.788104089219331</v>
      </c>
      <c r="J81" s="184">
        <f>J76/J85</f>
        <v>18.755140186915888</v>
      </c>
      <c r="K81" s="218"/>
      <c r="L81" s="184">
        <f>L76/L85</f>
        <v>17.533067540142802</v>
      </c>
      <c r="M81" s="184">
        <f>M76/M85</f>
        <v>19.090675448655929</v>
      </c>
      <c r="N81" s="184">
        <f>N76/N85</f>
        <v>20.938716253924191</v>
      </c>
      <c r="O81" s="184">
        <f>O76/O85</f>
        <v>22.577021170352033</v>
      </c>
      <c r="P81" s="406">
        <f>P76/P85</f>
        <v>24.158084156189361</v>
      </c>
    </row>
    <row r="82" spans="1:18" ht="15.5" x14ac:dyDescent="0.35">
      <c r="A82" s="185"/>
      <c r="B82" s="91"/>
      <c r="C82" s="91"/>
      <c r="D82" s="91"/>
      <c r="E82" s="91" t="s">
        <v>150</v>
      </c>
      <c r="F82" s="186">
        <f>F76/F86</f>
        <v>14.824302134646961</v>
      </c>
      <c r="G82" s="186">
        <f>G76/G86</f>
        <v>16.601694915254239</v>
      </c>
      <c r="H82" s="186">
        <f>H76/H86</f>
        <v>17.097731239092496</v>
      </c>
      <c r="I82" s="186">
        <f>I76/I86</f>
        <v>17.689463955637709</v>
      </c>
      <c r="J82" s="186">
        <f>J76/J86</f>
        <v>18.650557620817843</v>
      </c>
      <c r="K82" s="219"/>
      <c r="L82" s="186">
        <f>L76/L86</f>
        <v>17.435299505532342</v>
      </c>
      <c r="M82" s="186">
        <f>M76/M86</f>
        <v>18.984221868087214</v>
      </c>
      <c r="N82" s="186">
        <f>N76/N86</f>
        <v>20.821957613103052</v>
      </c>
      <c r="O82" s="186">
        <f>O76/O86</f>
        <v>22.451127000257131</v>
      </c>
      <c r="P82" s="407">
        <f>P76/P86</f>
        <v>24.023373649742208</v>
      </c>
      <c r="R82" s="554">
        <f>RATE(5,,J82,-P82)</f>
        <v>5.1933861161341979E-2</v>
      </c>
    </row>
    <row r="83" spans="1:18" x14ac:dyDescent="0.35">
      <c r="F83" s="52"/>
      <c r="G83" s="52"/>
      <c r="H83" s="52"/>
      <c r="I83" s="52"/>
      <c r="J83" s="52"/>
      <c r="K83" s="132"/>
      <c r="L83" s="52"/>
      <c r="M83" s="52"/>
      <c r="N83" s="52"/>
      <c r="O83" s="52"/>
      <c r="P83" s="52"/>
    </row>
    <row r="84" spans="1:18" x14ac:dyDescent="0.35">
      <c r="A84" s="179" t="s">
        <v>147</v>
      </c>
      <c r="B84" s="180"/>
      <c r="C84" s="180"/>
      <c r="D84" s="180"/>
      <c r="E84" s="180"/>
      <c r="F84" s="181"/>
      <c r="G84" s="181"/>
      <c r="H84" s="181"/>
      <c r="I84" s="181"/>
      <c r="J84" s="181"/>
      <c r="K84" s="223"/>
      <c r="L84" s="181"/>
      <c r="M84" s="181"/>
      <c r="N84" s="181"/>
      <c r="O84" s="181"/>
      <c r="P84" s="182"/>
    </row>
    <row r="85" spans="1:18" x14ac:dyDescent="0.35">
      <c r="A85" s="183"/>
      <c r="E85" s="12" t="s">
        <v>148</v>
      </c>
      <c r="F85" s="52">
        <v>605</v>
      </c>
      <c r="G85" s="52">
        <v>586</v>
      </c>
      <c r="H85" s="52">
        <v>570</v>
      </c>
      <c r="I85" s="52">
        <v>538</v>
      </c>
      <c r="J85" s="52">
        <v>535</v>
      </c>
      <c r="K85" s="225">
        <f>J85/F85-1</f>
        <v>-0.11570247933884292</v>
      </c>
      <c r="L85" s="52">
        <f>J85</f>
        <v>535</v>
      </c>
      <c r="M85" s="52">
        <f>L85</f>
        <v>535</v>
      </c>
      <c r="N85" s="52">
        <f>M85</f>
        <v>535</v>
      </c>
      <c r="O85" s="52">
        <f>N85</f>
        <v>535</v>
      </c>
      <c r="P85" s="187">
        <f>O85</f>
        <v>535</v>
      </c>
    </row>
    <row r="86" spans="1:18" x14ac:dyDescent="0.35">
      <c r="A86" s="185"/>
      <c r="B86" s="91"/>
      <c r="C86" s="91"/>
      <c r="D86" s="91"/>
      <c r="E86" s="91" t="s">
        <v>150</v>
      </c>
      <c r="F86" s="188">
        <v>609</v>
      </c>
      <c r="G86" s="188">
        <v>590</v>
      </c>
      <c r="H86" s="188">
        <v>573</v>
      </c>
      <c r="I86" s="188">
        <v>541</v>
      </c>
      <c r="J86" s="188">
        <v>538</v>
      </c>
      <c r="K86" s="224"/>
      <c r="L86" s="188">
        <f>J86</f>
        <v>538</v>
      </c>
      <c r="M86" s="188">
        <f>L86</f>
        <v>538</v>
      </c>
      <c r="N86" s="188">
        <f t="shared" ref="N86:P86" si="25">M86</f>
        <v>538</v>
      </c>
      <c r="O86" s="188">
        <f t="shared" si="25"/>
        <v>538</v>
      </c>
      <c r="P86" s="408">
        <f t="shared" si="25"/>
        <v>538</v>
      </c>
    </row>
    <row r="87" spans="1:18" x14ac:dyDescent="0.35">
      <c r="F87" s="52"/>
      <c r="G87" s="52"/>
      <c r="H87" s="52"/>
      <c r="I87" s="52"/>
      <c r="J87" s="114"/>
      <c r="K87" s="132"/>
      <c r="L87" s="52"/>
      <c r="M87" s="52"/>
      <c r="N87" s="52"/>
      <c r="O87" s="52"/>
      <c r="P87" s="52"/>
    </row>
    <row r="88" spans="1:18" x14ac:dyDescent="0.35">
      <c r="F88" s="52"/>
      <c r="G88" s="52"/>
      <c r="H88" s="52"/>
      <c r="I88" s="52"/>
      <c r="J88" s="52"/>
      <c r="K88" s="132"/>
      <c r="L88" s="52"/>
      <c r="M88" s="52"/>
      <c r="N88" s="52"/>
      <c r="O88" s="52"/>
      <c r="P88" s="52"/>
    </row>
    <row r="89" spans="1:18" x14ac:dyDescent="0.35">
      <c r="E89" s="12" t="s">
        <v>426</v>
      </c>
      <c r="F89" s="114">
        <f t="shared" ref="F89:J89" si="26">F76+F18</f>
        <v>10428</v>
      </c>
      <c r="G89" s="114">
        <f t="shared" si="26"/>
        <v>12595</v>
      </c>
      <c r="H89" s="114">
        <f t="shared" si="26"/>
        <v>12397</v>
      </c>
      <c r="I89" s="114">
        <f t="shared" si="26"/>
        <v>12170</v>
      </c>
      <c r="J89" s="114">
        <f t="shared" si="26"/>
        <v>13234</v>
      </c>
      <c r="K89" s="132"/>
      <c r="L89" s="114">
        <f>L76+L18</f>
        <v>14180.191133976399</v>
      </c>
      <c r="M89" s="114">
        <f t="shared" ref="M89:P89" si="27">M76+M18</f>
        <v>14713.511365030921</v>
      </c>
      <c r="N89" s="114">
        <f t="shared" si="27"/>
        <v>15102.213195849443</v>
      </c>
      <c r="O89" s="114">
        <f t="shared" si="27"/>
        <v>15978.706326138337</v>
      </c>
      <c r="P89" s="114">
        <f t="shared" si="27"/>
        <v>15824.575023561309</v>
      </c>
    </row>
    <row r="90" spans="1:18" x14ac:dyDescent="0.35">
      <c r="E90" s="12" t="s">
        <v>425</v>
      </c>
      <c r="F90" s="236">
        <f t="shared" ref="F90:J90" si="28">F89/F86</f>
        <v>17.123152709359605</v>
      </c>
      <c r="G90" s="236">
        <f t="shared" si="28"/>
        <v>21.347457627118644</v>
      </c>
      <c r="H90" s="236">
        <f t="shared" si="28"/>
        <v>21.63525305410122</v>
      </c>
      <c r="I90" s="236">
        <f t="shared" si="28"/>
        <v>22.495378927911275</v>
      </c>
      <c r="J90" s="236">
        <f t="shared" si="28"/>
        <v>24.598513011152416</v>
      </c>
      <c r="K90" s="277"/>
      <c r="L90" s="236">
        <f>L89/L86</f>
        <v>26.357232591034201</v>
      </c>
      <c r="M90" s="236">
        <f t="shared" ref="M90:P90" si="29">M89/M86</f>
        <v>27.348534135745208</v>
      </c>
      <c r="N90" s="236">
        <f t="shared" si="29"/>
        <v>28.071028245073315</v>
      </c>
      <c r="O90" s="236">
        <f t="shared" si="29"/>
        <v>29.700197632227393</v>
      </c>
      <c r="P90" s="236">
        <f t="shared" si="29"/>
        <v>29.413708222232916</v>
      </c>
      <c r="R90" s="12">
        <f>317/307-1</f>
        <v>3.2573289902280145E-2</v>
      </c>
    </row>
    <row r="91" spans="1:18" x14ac:dyDescent="0.35">
      <c r="E91" s="12" t="s">
        <v>427</v>
      </c>
      <c r="F91" s="236"/>
      <c r="G91" s="236"/>
      <c r="H91" s="236"/>
      <c r="I91" s="236"/>
      <c r="J91" s="236"/>
      <c r="K91" s="277"/>
      <c r="L91" s="236"/>
      <c r="M91" s="236"/>
      <c r="N91" s="236"/>
      <c r="O91" s="236"/>
      <c r="P91" s="236"/>
    </row>
    <row r="92" spans="1:18" x14ac:dyDescent="0.35">
      <c r="F92" s="236"/>
      <c r="G92" s="236"/>
      <c r="H92" s="236"/>
      <c r="I92" s="236"/>
      <c r="J92" s="236"/>
      <c r="K92" s="277"/>
      <c r="L92" s="236">
        <f>307/L90</f>
        <v>11.647656822075872</v>
      </c>
      <c r="M92" s="236">
        <f>307/M90</f>
        <v>11.225464534084239</v>
      </c>
      <c r="N92" s="236"/>
      <c r="O92" s="236"/>
      <c r="P92" s="236"/>
    </row>
    <row r="93" spans="1:18" ht="15.5" x14ac:dyDescent="0.35">
      <c r="A93" s="12" t="s">
        <v>173</v>
      </c>
      <c r="F93" s="52">
        <v>5.8</v>
      </c>
      <c r="G93" s="52">
        <v>6.4</v>
      </c>
      <c r="H93" s="52">
        <v>7.04</v>
      </c>
      <c r="I93" s="52">
        <v>7.76</v>
      </c>
      <c r="J93" s="52">
        <v>8.52</v>
      </c>
      <c r="K93" s="132"/>
      <c r="L93" s="189">
        <f>L82*$K$94</f>
        <v>7.2670495645539219</v>
      </c>
      <c r="M93" s="189">
        <f t="shared" ref="M93:P93" si="30">M82*$K$94</f>
        <v>7.912641891589117</v>
      </c>
      <c r="N93" s="189">
        <f t="shared" si="30"/>
        <v>8.6786119135749686</v>
      </c>
      <c r="O93" s="189">
        <f t="shared" si="30"/>
        <v>9.3576512774669371</v>
      </c>
      <c r="P93" s="189">
        <f t="shared" si="30"/>
        <v>10.012965189676272</v>
      </c>
      <c r="R93" s="554">
        <f>RATE(5,,J93,-P93)</f>
        <v>3.2819959799980022E-2</v>
      </c>
    </row>
    <row r="94" spans="1:18" x14ac:dyDescent="0.35">
      <c r="A94" s="12" t="s">
        <v>175</v>
      </c>
      <c r="F94" s="46">
        <f>F93/F82</f>
        <v>0.39124944616747898</v>
      </c>
      <c r="G94" s="46">
        <f t="shared" ref="G94:J94" si="31">G93/G82</f>
        <v>0.38550280755487493</v>
      </c>
      <c r="H94" s="46">
        <f t="shared" si="31"/>
        <v>0.4117505358783301</v>
      </c>
      <c r="I94" s="46">
        <f t="shared" si="31"/>
        <v>0.43867920585161962</v>
      </c>
      <c r="J94" s="46">
        <f t="shared" si="31"/>
        <v>0.45682280247159657</v>
      </c>
      <c r="K94" s="225">
        <f>AVERAGE(F94:J94)</f>
        <v>0.41680095958478008</v>
      </c>
      <c r="L94" s="46">
        <f t="shared" ref="L94" si="32">L93/L82</f>
        <v>0.41680095958478008</v>
      </c>
      <c r="M94" s="46">
        <f t="shared" ref="M94" si="33">M93/M82</f>
        <v>0.41680095958478008</v>
      </c>
      <c r="N94" s="46">
        <f t="shared" ref="N94" si="34">N93/N82</f>
        <v>0.41680095958478003</v>
      </c>
      <c r="O94" s="46">
        <f t="shared" ref="O94" si="35">O93/O82</f>
        <v>0.41680095958478008</v>
      </c>
      <c r="P94" s="46">
        <f t="shared" ref="P94" si="36">P93/P82</f>
        <v>0.41680095958478008</v>
      </c>
    </row>
    <row r="95" spans="1:18" x14ac:dyDescent="0.35">
      <c r="F95" s="52"/>
      <c r="G95" s="52"/>
      <c r="H95" s="52"/>
      <c r="I95" s="52"/>
      <c r="J95" s="52"/>
      <c r="K95" s="132"/>
      <c r="L95" s="52"/>
      <c r="M95" s="52"/>
      <c r="N95" s="52"/>
      <c r="O95" s="52"/>
      <c r="P95" s="52"/>
    </row>
    <row r="96" spans="1:18" x14ac:dyDescent="0.35">
      <c r="A96" s="12" t="s">
        <v>421</v>
      </c>
      <c r="F96" s="52"/>
      <c r="G96" s="52"/>
      <c r="H96" s="52"/>
      <c r="I96" s="52"/>
      <c r="J96" s="463">
        <f>273/J82</f>
        <v>14.637632051026511</v>
      </c>
      <c r="K96" s="132"/>
      <c r="L96" s="52"/>
      <c r="M96" s="52"/>
      <c r="N96" s="52"/>
      <c r="O96" s="52"/>
      <c r="P96" s="52"/>
    </row>
    <row r="97" spans="1:16" x14ac:dyDescent="0.35">
      <c r="A97" s="12" t="s">
        <v>174</v>
      </c>
      <c r="F97" s="189">
        <f>F50/-(F60)</f>
        <v>8.6555469356089993</v>
      </c>
      <c r="G97" s="189">
        <f t="shared" ref="G97:J97" si="37">G50/-(G60)</f>
        <v>9.7733755942947695</v>
      </c>
      <c r="H97" s="189">
        <f t="shared" si="37"/>
        <v>10.379281537176274</v>
      </c>
      <c r="I97" s="189">
        <f t="shared" si="37"/>
        <v>9.108493932905068</v>
      </c>
      <c r="J97" s="189">
        <f t="shared" si="37"/>
        <v>6.4792069632495162</v>
      </c>
      <c r="K97" s="132"/>
      <c r="L97" s="189">
        <f>L50/-(L60)</f>
        <v>5.5301850370498702</v>
      </c>
      <c r="M97" s="189">
        <f t="shared" ref="M97:P97" si="38">M50/-(M60)</f>
        <v>6.0421231128330826</v>
      </c>
      <c r="N97" s="189">
        <f t="shared" si="38"/>
        <v>7.0572698083353069</v>
      </c>
      <c r="O97" s="189">
        <f t="shared" si="38"/>
        <v>8.3149224103401753</v>
      </c>
      <c r="P97" s="189">
        <f t="shared" si="38"/>
        <v>9.2640685627749022</v>
      </c>
    </row>
    <row r="98" spans="1:16" x14ac:dyDescent="0.35">
      <c r="A98" s="12" t="s">
        <v>256</v>
      </c>
      <c r="F98" s="46">
        <f>F76/BS!F46</f>
        <v>0.93331954926082916</v>
      </c>
      <c r="G98" s="46">
        <f>G76/BS!G46</f>
        <v>1.041024550961845</v>
      </c>
      <c r="H98" s="46">
        <f>H76/BS!H46</f>
        <v>1.4622388059701492</v>
      </c>
      <c r="I98" s="46">
        <f>I76/BS!I46</f>
        <v>2.6140398798142583</v>
      </c>
      <c r="J98" s="46">
        <f>J76/BS!J46</f>
        <v>1.6100770218228497</v>
      </c>
      <c r="K98" s="132"/>
      <c r="L98" s="190">
        <f>L76/BS!L43</f>
        <v>0.27947592133274735</v>
      </c>
      <c r="M98" s="190">
        <f>M76/BS!M43</f>
        <v>0.29966834860503744</v>
      </c>
      <c r="N98" s="190">
        <f>N76/BS!N43</f>
        <v>0.32349954265601299</v>
      </c>
      <c r="O98" s="190">
        <f>O76/BS!O43</f>
        <v>0.34319413314379299</v>
      </c>
      <c r="P98" s="190">
        <f>P76/BS!P43</f>
        <v>0.36116443577028368</v>
      </c>
    </row>
    <row r="99" spans="1:16" x14ac:dyDescent="0.35">
      <c r="F99" s="52"/>
      <c r="G99" s="52"/>
      <c r="H99" s="52"/>
      <c r="I99" s="52"/>
      <c r="J99" s="52"/>
      <c r="K99" s="132"/>
      <c r="L99" s="52"/>
      <c r="M99" s="52"/>
      <c r="N99" s="52"/>
      <c r="O99" s="52"/>
      <c r="P99" s="52"/>
    </row>
    <row r="100" spans="1:16" x14ac:dyDescent="0.35">
      <c r="A100" s="440" t="s">
        <v>254</v>
      </c>
      <c r="B100" s="441"/>
      <c r="C100" s="441"/>
      <c r="D100" s="441"/>
      <c r="E100" s="441"/>
      <c r="F100" s="442"/>
      <c r="G100" s="442"/>
      <c r="H100" s="442"/>
      <c r="I100" s="442"/>
      <c r="J100" s="442"/>
      <c r="K100" s="442"/>
      <c r="L100" s="442"/>
      <c r="M100" s="442"/>
      <c r="N100" s="442"/>
      <c r="O100" s="442"/>
      <c r="P100" s="442"/>
    </row>
    <row r="101" spans="1:16" x14ac:dyDescent="0.35">
      <c r="A101" s="434" t="s">
        <v>250</v>
      </c>
      <c r="B101" s="435"/>
      <c r="C101" s="435"/>
      <c r="D101" s="435"/>
      <c r="E101" s="435"/>
      <c r="F101" s="433"/>
      <c r="G101" s="436">
        <f>G12/F12-1</f>
        <v>8.8262991182261885E-2</v>
      </c>
      <c r="H101" s="436">
        <f>H12/G12-1</f>
        <v>2.1829767149150303E-2</v>
      </c>
      <c r="I101" s="436">
        <f>I12/H12-1</f>
        <v>1.3241464259594382E-2</v>
      </c>
      <c r="J101" s="436">
        <f>J12/I12-1</f>
        <v>7.0926566120882883E-2</v>
      </c>
      <c r="K101" s="433"/>
      <c r="L101" s="436">
        <f>L76/J76-1</f>
        <v>-6.5159344829938237E-2</v>
      </c>
      <c r="M101" s="436">
        <f>M76/L76-1</f>
        <v>8.8838299684120159E-2</v>
      </c>
      <c r="N101" s="436">
        <f t="shared" ref="N101:P101" si="39">N76/M76-1</f>
        <v>9.6803322136953307E-2</v>
      </c>
      <c r="O101" s="436">
        <f t="shared" si="39"/>
        <v>7.824285388655583E-2</v>
      </c>
      <c r="P101" s="436">
        <f t="shared" si="39"/>
        <v>7.0029742803872086E-2</v>
      </c>
    </row>
    <row r="102" spans="1:16" x14ac:dyDescent="0.35">
      <c r="A102" s="434" t="s">
        <v>255</v>
      </c>
      <c r="B102" s="435"/>
      <c r="C102" s="435"/>
      <c r="D102" s="435"/>
      <c r="E102" s="435"/>
      <c r="F102" s="436">
        <f>F23</f>
        <v>0.86880404074993578</v>
      </c>
      <c r="G102" s="436">
        <f>G23</f>
        <v>0.86776274386406549</v>
      </c>
      <c r="H102" s="436">
        <f>H23</f>
        <v>0.84626044112552445</v>
      </c>
      <c r="I102" s="436">
        <f>I23</f>
        <v>0.84990312654332711</v>
      </c>
      <c r="J102" s="436">
        <f>J23</f>
        <v>0.84</v>
      </c>
      <c r="K102" s="433"/>
      <c r="L102" s="437">
        <f>L23</f>
        <v>0.80999999999999994</v>
      </c>
      <c r="M102" s="437">
        <f t="shared" ref="M102:P102" si="40">M23</f>
        <v>0.82</v>
      </c>
      <c r="N102" s="437">
        <f t="shared" si="40"/>
        <v>0.83</v>
      </c>
      <c r="O102" s="437">
        <f t="shared" si="40"/>
        <v>0.84</v>
      </c>
      <c r="P102" s="437">
        <f t="shared" si="40"/>
        <v>0.85</v>
      </c>
    </row>
    <row r="103" spans="1:16" x14ac:dyDescent="0.35">
      <c r="A103" s="434" t="s">
        <v>251</v>
      </c>
      <c r="B103" s="435"/>
      <c r="C103" s="435"/>
      <c r="D103" s="435"/>
      <c r="E103" s="435"/>
      <c r="F103" s="436">
        <f>SUM(F50+F36+F18+F37)/F12</f>
        <v>0.57199726050851807</v>
      </c>
      <c r="G103" s="436">
        <f>SUM(G50+G36+G18+G37)/G12</f>
        <v>0.62676998112020144</v>
      </c>
      <c r="H103" s="436">
        <f>SUM(H50+H36+H18+H37)/H12</f>
        <v>0.609030370684014</v>
      </c>
      <c r="I103" s="436">
        <f>SUM(I50+I36+I18+I37)/I12</f>
        <v>0.61459560080537934</v>
      </c>
      <c r="J103" s="436">
        <f>SUM(J50+J36+J18+J37)/J12</f>
        <v>0.61972330613692794</v>
      </c>
      <c r="K103" s="432"/>
      <c r="L103" s="437">
        <f>L56</f>
        <v>0.61623497335401423</v>
      </c>
      <c r="M103" s="437">
        <f t="shared" ref="M103:P103" si="41">M56</f>
        <v>0.61054403626750542</v>
      </c>
      <c r="N103" s="437">
        <f t="shared" si="41"/>
        <v>0.59765798135836534</v>
      </c>
      <c r="O103" s="437">
        <f t="shared" si="41"/>
        <v>0.6041610195869761</v>
      </c>
      <c r="P103" s="437">
        <f t="shared" si="41"/>
        <v>0.5838681724510425</v>
      </c>
    </row>
    <row r="104" spans="1:16" x14ac:dyDescent="0.35">
      <c r="A104" s="434" t="s">
        <v>252</v>
      </c>
      <c r="B104" s="435"/>
      <c r="C104" s="435"/>
      <c r="D104" s="435"/>
      <c r="E104" s="435"/>
      <c r="F104" s="437">
        <f>F52</f>
        <v>0.47757041349199553</v>
      </c>
      <c r="G104" s="437">
        <f t="shared" ref="G104:J104" si="42">G52</f>
        <v>0.48513215859030839</v>
      </c>
      <c r="H104" s="437">
        <f t="shared" si="42"/>
        <v>0.47823241849185882</v>
      </c>
      <c r="I104" s="437">
        <f t="shared" si="42"/>
        <v>0.48478516886373135</v>
      </c>
      <c r="J104" s="437">
        <f t="shared" si="42"/>
        <v>0.47531039375665129</v>
      </c>
      <c r="K104" s="432"/>
      <c r="L104" s="437">
        <f>L52</f>
        <v>0.45099893786364492</v>
      </c>
      <c r="M104" s="437">
        <f t="shared" ref="M104:P104" si="43">M52</f>
        <v>0.460165013893716</v>
      </c>
      <c r="N104" s="437">
        <f t="shared" si="43"/>
        <v>0.46925641333300205</v>
      </c>
      <c r="O104" s="437">
        <f t="shared" si="43"/>
        <v>0.47806222763478229</v>
      </c>
      <c r="P104" s="437">
        <f t="shared" si="43"/>
        <v>0.48685677343690281</v>
      </c>
    </row>
    <row r="105" spans="1:16" x14ac:dyDescent="0.35">
      <c r="A105" s="434" t="s">
        <v>253</v>
      </c>
      <c r="B105" s="435"/>
      <c r="C105" s="435"/>
      <c r="D105" s="435"/>
      <c r="E105" s="435"/>
      <c r="F105" s="437">
        <f>F78</f>
        <v>0.38643951716462632</v>
      </c>
      <c r="G105" s="437">
        <f t="shared" ref="G105:J105" si="44">G78</f>
        <v>0.38526589049716803</v>
      </c>
      <c r="H105" s="437">
        <f t="shared" si="44"/>
        <v>0.37711228299780591</v>
      </c>
      <c r="I105" s="437">
        <f t="shared" si="44"/>
        <v>0.36356038445465944</v>
      </c>
      <c r="J105" s="437">
        <f t="shared" si="44"/>
        <v>0.35594182334161051</v>
      </c>
      <c r="K105" s="432"/>
      <c r="L105" s="437">
        <f>L78</f>
        <v>0.30727960739518956</v>
      </c>
      <c r="M105" s="437">
        <f t="shared" ref="M105:P105" si="45">M78</f>
        <v>0.3193886021042483</v>
      </c>
      <c r="N105" s="437">
        <f t="shared" si="45"/>
        <v>0.33499039582846002</v>
      </c>
      <c r="O105" s="437">
        <f t="shared" si="45"/>
        <v>0.34979846184410129</v>
      </c>
      <c r="P105" s="437">
        <f t="shared" si="45"/>
        <v>0.36122292858904193</v>
      </c>
    </row>
    <row r="106" spans="1:16" x14ac:dyDescent="0.35">
      <c r="A106" s="434" t="s">
        <v>414</v>
      </c>
      <c r="B106" s="435"/>
      <c r="C106" s="435"/>
      <c r="D106" s="435"/>
      <c r="E106" s="435"/>
      <c r="F106" s="447">
        <f>F21/F27</f>
        <v>5.0402284579091132</v>
      </c>
      <c r="G106" s="447">
        <f t="shared" ref="G106:J106" si="46">G21/G27</f>
        <v>5.4007343941248473</v>
      </c>
      <c r="H106" s="447">
        <f t="shared" si="46"/>
        <v>5.1175512104283056</v>
      </c>
      <c r="I106" s="447">
        <f t="shared" si="46"/>
        <v>5.1536512324349228</v>
      </c>
      <c r="J106" s="447">
        <f t="shared" si="46"/>
        <v>5.0248936170212763</v>
      </c>
      <c r="K106" s="453"/>
      <c r="L106" s="447">
        <f>L21/L27</f>
        <v>4.8653412104709481</v>
      </c>
      <c r="M106" s="447">
        <f t="shared" ref="M106:P106" si="47">M21/M27</f>
        <v>4.9254071513409592</v>
      </c>
      <c r="N106" s="447">
        <f t="shared" si="47"/>
        <v>4.9854730922109711</v>
      </c>
      <c r="O106" s="447">
        <f t="shared" si="47"/>
        <v>5.0455390330809822</v>
      </c>
      <c r="P106" s="447">
        <f t="shared" si="47"/>
        <v>5.1056049739509941</v>
      </c>
    </row>
    <row r="107" spans="1:16" x14ac:dyDescent="0.35">
      <c r="A107" s="438" t="s">
        <v>256</v>
      </c>
      <c r="B107" s="438"/>
      <c r="C107" s="438"/>
      <c r="D107" s="438"/>
      <c r="E107" s="438"/>
      <c r="F107" s="439">
        <f>F76/BS!F46</f>
        <v>0.93331954926082916</v>
      </c>
      <c r="G107" s="439">
        <f>G76/BS!G46</f>
        <v>1.041024550961845</v>
      </c>
      <c r="H107" s="439">
        <f>H76/BS!H46</f>
        <v>1.4622388059701492</v>
      </c>
      <c r="I107" s="439">
        <f>I76/BS!I46</f>
        <v>2.6140398798142583</v>
      </c>
      <c r="J107" s="439">
        <f>J76/BS!J46</f>
        <v>1.6100770218228497</v>
      </c>
      <c r="K107" s="432"/>
      <c r="L107" s="436">
        <f>L76/BS!L46</f>
        <v>0.76911889510537279</v>
      </c>
      <c r="M107" s="436">
        <f>M76/BS!M46</f>
        <v>0.54700358084616374</v>
      </c>
      <c r="N107" s="436">
        <f>N76/BS!N46</f>
        <v>0.43503118753919201</v>
      </c>
      <c r="O107" s="436">
        <f>O76/BS!O46</f>
        <v>0.36205627523129785</v>
      </c>
      <c r="P107" s="436">
        <f>P76/BS!P46</f>
        <v>0.31151147217775815</v>
      </c>
    </row>
    <row r="108" spans="1:16" x14ac:dyDescent="0.35">
      <c r="A108" s="443" t="s">
        <v>257</v>
      </c>
      <c r="B108" s="443"/>
      <c r="C108" s="443"/>
      <c r="D108" s="443"/>
      <c r="E108" s="443"/>
      <c r="F108" s="444">
        <f>F76/BS!F24</f>
        <v>0.15120505133401443</v>
      </c>
      <c r="G108" s="444">
        <f>G76/BS!G24</f>
        <v>0.1556046260405414</v>
      </c>
      <c r="H108" s="444">
        <f>H76/BS!H24</f>
        <v>0.16017330172484265</v>
      </c>
      <c r="I108" s="444">
        <f>I76/BS!I24</f>
        <v>0.14695720274565807</v>
      </c>
      <c r="J108" s="444">
        <f>J76/BS!J24</f>
        <v>0.10327932972394344</v>
      </c>
      <c r="K108" s="441"/>
      <c r="L108" s="445">
        <f>L76/BS!L24</f>
        <v>9.1500000698538503E-2</v>
      </c>
      <c r="M108" s="445">
        <f>M76/BS!M24</f>
        <v>9.870667887018203E-2</v>
      </c>
      <c r="N108" s="445">
        <f>N76/BS!N24</f>
        <v>0.10736298706500963</v>
      </c>
      <c r="O108" s="445">
        <f>O76/BS!O24</f>
        <v>0.11065067617041985</v>
      </c>
      <c r="P108" s="445">
        <f>P76/BS!P24</f>
        <v>0.11515111900167634</v>
      </c>
    </row>
    <row r="109" spans="1:16" x14ac:dyDescent="0.35">
      <c r="K109" s="130"/>
    </row>
    <row r="110" spans="1:16" x14ac:dyDescent="0.35">
      <c r="A110" s="191" t="s">
        <v>151</v>
      </c>
      <c r="B110" s="191"/>
      <c r="C110" s="191"/>
      <c r="D110" s="191"/>
      <c r="E110" s="191"/>
      <c r="F110" s="192">
        <f>F9/F12</f>
        <v>4.9567674000513658E-2</v>
      </c>
      <c r="G110" s="192">
        <f>G9/G12</f>
        <v>4.6570169918187541E-2</v>
      </c>
      <c r="H110" s="192">
        <f>H9/H12</f>
        <v>6.4744601408830205E-2</v>
      </c>
      <c r="I110" s="192">
        <f>I9/I12</f>
        <v>5.7820157276906127E-2</v>
      </c>
      <c r="J110" s="192">
        <f>J9/J12</f>
        <v>4.5406172401560835E-2</v>
      </c>
      <c r="K110" s="226">
        <f>AVERAGE(F110:J110)</f>
        <v>5.2821755001199677E-2</v>
      </c>
      <c r="L110" s="192">
        <f>L9/L8</f>
        <v>5.2821755001199677E-2</v>
      </c>
      <c r="M110" s="192">
        <f>M9/M8</f>
        <v>5.2821755001199677E-2</v>
      </c>
      <c r="N110" s="192">
        <f>N9/N8</f>
        <v>5.2821755001199677E-2</v>
      </c>
      <c r="O110" s="192">
        <f>O9/O8</f>
        <v>5.2821755001199677E-2</v>
      </c>
      <c r="P110" s="192">
        <f>P9/P8</f>
        <v>5.2821755001199677E-2</v>
      </c>
    </row>
    <row r="111" spans="1:16" x14ac:dyDescent="0.35">
      <c r="A111" s="193" t="s">
        <v>152</v>
      </c>
      <c r="B111" s="193"/>
      <c r="C111" s="193"/>
      <c r="D111" s="193"/>
      <c r="E111" s="193"/>
      <c r="F111" s="194">
        <f>F19/F8</f>
        <v>0.13803819131687983</v>
      </c>
      <c r="G111" s="194">
        <f>G19/G8</f>
        <v>0.13869636963696369</v>
      </c>
      <c r="H111" s="194">
        <f>H19/H8</f>
        <v>0.16438243404535538</v>
      </c>
      <c r="I111" s="194">
        <f>I19/I8</f>
        <v>0.15930809241562841</v>
      </c>
      <c r="J111" s="194">
        <f>J19/J8</f>
        <v>0.16993682645856559</v>
      </c>
      <c r="K111" s="226">
        <f>AVERAGE(F111:J111)</f>
        <v>0.15407238277467855</v>
      </c>
      <c r="L111" s="194">
        <f>L19/L12</f>
        <v>0.19000000000000006</v>
      </c>
      <c r="M111" s="194">
        <f>M19/M12</f>
        <v>0.18000000000000005</v>
      </c>
      <c r="N111" s="194">
        <f>N19/N12</f>
        <v>0.1700000000000001</v>
      </c>
      <c r="O111" s="194">
        <f>O19/O12</f>
        <v>0.16</v>
      </c>
      <c r="P111" s="194">
        <f>P19/P12</f>
        <v>0.15</v>
      </c>
    </row>
    <row r="112" spans="1:16" x14ac:dyDescent="0.35">
      <c r="A112" s="193" t="s">
        <v>258</v>
      </c>
      <c r="B112" s="193"/>
      <c r="C112" s="193"/>
      <c r="D112" s="193"/>
      <c r="E112" s="193"/>
      <c r="F112" s="194">
        <f>F17/F8</f>
        <v>7.4986488920915154E-2</v>
      </c>
      <c r="G112" s="194">
        <f>G17/G8</f>
        <v>2.3184818481848186E-2</v>
      </c>
      <c r="H112" s="194">
        <f>H17/H8</f>
        <v>5.7373338272214677E-2</v>
      </c>
      <c r="I112" s="194">
        <f>I17/I8</f>
        <v>5.447360993508326E-2</v>
      </c>
      <c r="J112" s="194">
        <f>J17/J8</f>
        <v>5.1021924934968411E-2</v>
      </c>
      <c r="K112" s="226">
        <f>AVERAGE(F112:J112)</f>
        <v>5.2208036109005942E-2</v>
      </c>
      <c r="L112" s="194">
        <f>K112</f>
        <v>5.2208036109005942E-2</v>
      </c>
      <c r="M112" s="194">
        <f>L112</f>
        <v>5.2208036109005942E-2</v>
      </c>
      <c r="N112" s="194">
        <f t="shared" ref="N112:P112" si="48">M112</f>
        <v>5.2208036109005942E-2</v>
      </c>
      <c r="O112" s="194">
        <f t="shared" si="48"/>
        <v>5.2208036109005942E-2</v>
      </c>
      <c r="P112" s="194">
        <f t="shared" si="48"/>
        <v>5.2208036109005942E-2</v>
      </c>
    </row>
    <row r="113" spans="1:16" x14ac:dyDescent="0.35">
      <c r="A113" s="193" t="s">
        <v>259</v>
      </c>
      <c r="B113" s="193"/>
      <c r="C113" s="193"/>
      <c r="D113" s="193"/>
      <c r="E113" s="193"/>
      <c r="F113" s="194">
        <f>F18/F8</f>
        <v>6.3051702395964693E-2</v>
      </c>
      <c r="G113" s="194">
        <f>G18/G8</f>
        <v>0.11551155115511551</v>
      </c>
      <c r="H113" s="194">
        <f>H18/H8</f>
        <v>0.10700909577314072</v>
      </c>
      <c r="I113" s="194">
        <f>I18/I8</f>
        <v>0.10483448248054514</v>
      </c>
      <c r="J113" s="194">
        <f>J18/J8</f>
        <v>0.11891490152359717</v>
      </c>
      <c r="K113" s="226">
        <f>AVERAGE(F113:J113)</f>
        <v>0.10186434666567265</v>
      </c>
      <c r="L113" s="194">
        <f>K113</f>
        <v>0.10186434666567265</v>
      </c>
      <c r="M113" s="194">
        <f>L113</f>
        <v>0.10186434666567265</v>
      </c>
      <c r="N113" s="194">
        <f t="shared" ref="N113:P113" si="49">M113</f>
        <v>0.10186434666567265</v>
      </c>
      <c r="O113" s="194">
        <f t="shared" si="49"/>
        <v>0.10186434666567265</v>
      </c>
      <c r="P113" s="194">
        <f t="shared" si="49"/>
        <v>0.10186434666567265</v>
      </c>
    </row>
    <row r="114" spans="1:16" x14ac:dyDescent="0.35">
      <c r="A114" s="193" t="s">
        <v>154</v>
      </c>
      <c r="B114" s="193"/>
      <c r="C114" s="193"/>
      <c r="D114" s="193"/>
      <c r="E114" s="193"/>
      <c r="F114" s="194">
        <f>F27/F8</f>
        <v>0.18136371824896416</v>
      </c>
      <c r="G114" s="194">
        <f>G27/G8</f>
        <v>0.16852310231023102</v>
      </c>
      <c r="H114" s="194">
        <f>H27/H8</f>
        <v>0.17681195209285097</v>
      </c>
      <c r="I114" s="194">
        <f>I27/I8</f>
        <v>0.17503326478771017</v>
      </c>
      <c r="J114" s="194">
        <f>J27/J8</f>
        <v>0.17465626161278336</v>
      </c>
      <c r="K114" s="226">
        <f t="shared" ref="K114:K127" si="50">AVERAGE(F114:J114)</f>
        <v>0.17527765981050794</v>
      </c>
      <c r="L114" s="194">
        <f>L27/L12</f>
        <v>0.16648369866778465</v>
      </c>
      <c r="M114" s="194">
        <f>M27/M12</f>
        <v>0.1664836986677847</v>
      </c>
      <c r="N114" s="194">
        <f>N27/N12</f>
        <v>0.16648369866778465</v>
      </c>
      <c r="O114" s="194">
        <f>O27/O12</f>
        <v>0.16648369866778467</v>
      </c>
      <c r="P114" s="194">
        <f>P27/P12</f>
        <v>0.16648369866778467</v>
      </c>
    </row>
    <row r="115" spans="1:16" x14ac:dyDescent="0.35">
      <c r="A115" s="193" t="s">
        <v>153</v>
      </c>
      <c r="B115" s="193"/>
      <c r="C115" s="193"/>
      <c r="D115" s="193"/>
      <c r="E115" s="193"/>
      <c r="F115" s="194">
        <f>F38/F8</f>
        <v>0.23027382453611961</v>
      </c>
      <c r="G115" s="194">
        <f>G38/G8</f>
        <v>0.23279702970297031</v>
      </c>
      <c r="H115" s="194">
        <f>H38/H8</f>
        <v>0.21669341894060995</v>
      </c>
      <c r="I115" s="194">
        <f>I38/I8</f>
        <v>0.21249143179710495</v>
      </c>
      <c r="J115" s="194">
        <f>J38/J8</f>
        <v>0.20505388331475288</v>
      </c>
      <c r="K115" s="226">
        <f>AVERAGE(F115:J115)</f>
        <v>0.21946191765831152</v>
      </c>
      <c r="L115" s="194">
        <f>L38/L12</f>
        <v>0.19251736346857035</v>
      </c>
      <c r="M115" s="194">
        <f>M38/M12</f>
        <v>0.1933512874384993</v>
      </c>
      <c r="N115" s="194">
        <f>N38/N12</f>
        <v>0.19425988799921318</v>
      </c>
      <c r="O115" s="194">
        <f>O38/O12</f>
        <v>0.19545407369743295</v>
      </c>
      <c r="P115" s="194">
        <f>P38/P12</f>
        <v>0.19665952789531255</v>
      </c>
    </row>
    <row r="116" spans="1:16" x14ac:dyDescent="0.35">
      <c r="A116" s="193" t="s">
        <v>260</v>
      </c>
      <c r="B116" s="193"/>
      <c r="C116" s="193"/>
      <c r="D116" s="193"/>
      <c r="E116" s="193"/>
      <c r="F116" s="194">
        <f t="shared" ref="F116:J118" si="51">F35/F$8</f>
        <v>0.19397405872815709</v>
      </c>
      <c r="G116" s="194">
        <f t="shared" si="51"/>
        <v>0.19975247524752476</v>
      </c>
      <c r="H116" s="194">
        <f t="shared" si="51"/>
        <v>0.18384985800716139</v>
      </c>
      <c r="I116" s="194">
        <f t="shared" si="51"/>
        <v>0.17954921172533367</v>
      </c>
      <c r="J116" s="194">
        <f t="shared" si="51"/>
        <v>0.17268673355629877</v>
      </c>
      <c r="K116" s="226">
        <f t="shared" ref="K116:K118" si="52">AVERAGE(F116:J116)</f>
        <v>0.18596246745289516</v>
      </c>
      <c r="L116" s="194"/>
      <c r="M116" s="194"/>
      <c r="N116" s="194"/>
      <c r="O116" s="194"/>
      <c r="P116" s="194"/>
    </row>
    <row r="117" spans="1:16" x14ac:dyDescent="0.35">
      <c r="A117" s="193" t="s">
        <v>261</v>
      </c>
      <c r="B117" s="193"/>
      <c r="C117" s="193"/>
      <c r="D117" s="193"/>
      <c r="E117" s="193"/>
      <c r="F117" s="194">
        <f t="shared" si="51"/>
        <v>2.8598450729598272E-2</v>
      </c>
      <c r="G117" s="194">
        <f t="shared" si="51"/>
        <v>2.6402640264026403E-2</v>
      </c>
      <c r="H117" s="194">
        <f t="shared" si="51"/>
        <v>2.6505329876116392E-2</v>
      </c>
      <c r="I117" s="194">
        <f t="shared" si="51"/>
        <v>2.6652151122938592E-2</v>
      </c>
      <c r="J117" s="194">
        <f t="shared" si="51"/>
        <v>2.545522110739502E-2</v>
      </c>
      <c r="K117" s="226">
        <f t="shared" si="52"/>
        <v>2.6722758620014934E-2</v>
      </c>
      <c r="L117" s="194"/>
      <c r="M117" s="194"/>
      <c r="N117" s="194"/>
      <c r="O117" s="194"/>
      <c r="P117" s="194"/>
    </row>
    <row r="118" spans="1:16" x14ac:dyDescent="0.35">
      <c r="A118" s="193" t="s">
        <v>262</v>
      </c>
      <c r="B118" s="193"/>
      <c r="C118" s="193"/>
      <c r="D118" s="193"/>
      <c r="E118" s="193"/>
      <c r="F118" s="194">
        <f t="shared" si="51"/>
        <v>7.7013150783642589E-3</v>
      </c>
      <c r="G118" s="194">
        <f t="shared" si="51"/>
        <v>6.6419141914191423E-3</v>
      </c>
      <c r="H118" s="194">
        <f t="shared" si="51"/>
        <v>6.3382310573321813E-3</v>
      </c>
      <c r="I118" s="194">
        <f t="shared" si="51"/>
        <v>6.2900689488327079E-3</v>
      </c>
      <c r="J118" s="194">
        <f t="shared" si="51"/>
        <v>6.9119286510590855E-3</v>
      </c>
      <c r="K118" s="226">
        <f t="shared" si="52"/>
        <v>6.776691585401476E-3</v>
      </c>
      <c r="L118" s="194"/>
      <c r="M118" s="194"/>
      <c r="N118" s="194"/>
      <c r="O118" s="194"/>
      <c r="P118" s="194"/>
    </row>
    <row r="119" spans="1:16" x14ac:dyDescent="0.35">
      <c r="A119" s="193" t="s">
        <v>155</v>
      </c>
      <c r="B119" s="193"/>
      <c r="C119" s="193"/>
      <c r="D119" s="193"/>
      <c r="E119" s="193"/>
      <c r="F119" s="195">
        <f>F42/F12</f>
        <v>0</v>
      </c>
      <c r="G119" s="195">
        <f>G42/G12</f>
        <v>0</v>
      </c>
      <c r="H119" s="195">
        <f>H42/H12</f>
        <v>0</v>
      </c>
      <c r="I119" s="195">
        <f>I42/I12</f>
        <v>0</v>
      </c>
      <c r="J119" s="195">
        <f>J42/J12</f>
        <v>0</v>
      </c>
      <c r="K119" s="226">
        <f t="shared" si="50"/>
        <v>0</v>
      </c>
      <c r="L119" s="195">
        <f>L42/L12</f>
        <v>0</v>
      </c>
      <c r="M119" s="195">
        <f>M42/M12</f>
        <v>0</v>
      </c>
      <c r="N119" s="195">
        <f>N42/N12</f>
        <v>0</v>
      </c>
      <c r="O119" s="195">
        <f>O42/O12</f>
        <v>0</v>
      </c>
      <c r="P119" s="195">
        <f>P42/P12</f>
        <v>0</v>
      </c>
    </row>
    <row r="120" spans="1:16" x14ac:dyDescent="0.35">
      <c r="A120" s="196" t="s">
        <v>171</v>
      </c>
      <c r="B120" s="196"/>
      <c r="C120" s="196"/>
      <c r="D120" s="196"/>
      <c r="E120" s="196"/>
      <c r="F120" s="197">
        <f>F68/F12</f>
        <v>0.45462717233113603</v>
      </c>
      <c r="G120" s="197">
        <f>G68/G12</f>
        <v>0.44701856513530525</v>
      </c>
      <c r="H120" s="197">
        <f>H68/H12</f>
        <v>0.43258016089918783</v>
      </c>
      <c r="I120" s="197">
        <f>I68/I12</f>
        <v>0.42168445845838243</v>
      </c>
      <c r="J120" s="197">
        <f>J68/J12</f>
        <v>0.4262859169918411</v>
      </c>
      <c r="K120" s="227">
        <f>AVERAGE(F120:J120)</f>
        <v>0.43643925476317047</v>
      </c>
      <c r="L120" s="198"/>
      <c r="M120" s="198"/>
      <c r="N120" s="198"/>
      <c r="O120" s="198"/>
      <c r="P120" s="198"/>
    </row>
    <row r="121" spans="1:16" x14ac:dyDescent="0.35">
      <c r="A121" s="191" t="s">
        <v>156</v>
      </c>
      <c r="B121" s="191"/>
      <c r="C121" s="191"/>
      <c r="D121" s="191"/>
      <c r="E121" s="191"/>
      <c r="F121" s="192">
        <f>F46/F8</f>
        <v>0.54967573410196358</v>
      </c>
      <c r="G121" s="192">
        <f>G46/G8</f>
        <v>0.54001650165016502</v>
      </c>
      <c r="H121" s="192">
        <f>H46/H8</f>
        <v>0.5578878050788163</v>
      </c>
      <c r="I121" s="192">
        <f>I46/I8</f>
        <v>0.54683278900044352</v>
      </c>
      <c r="J121" s="192">
        <f>J46/J8</f>
        <v>0.54964697138610186</v>
      </c>
      <c r="K121" s="228">
        <f t="shared" si="50"/>
        <v>0.54881196024349799</v>
      </c>
      <c r="L121" s="192">
        <f>L46/L12</f>
        <v>0.54900106213635502</v>
      </c>
      <c r="M121" s="192">
        <f>M46/M12</f>
        <v>0.539834986106284</v>
      </c>
      <c r="N121" s="192">
        <f>N46/N12</f>
        <v>0.53074358666699795</v>
      </c>
      <c r="O121" s="192">
        <f>O46/O12</f>
        <v>0.52193777236521766</v>
      </c>
      <c r="P121" s="192">
        <f>P46/P12</f>
        <v>0.51314322656309719</v>
      </c>
    </row>
    <row r="122" spans="1:16" x14ac:dyDescent="0.35">
      <c r="A122" s="196"/>
      <c r="B122" s="196"/>
      <c r="C122" s="196"/>
      <c r="D122" s="196"/>
      <c r="E122" s="196"/>
      <c r="F122" s="199"/>
      <c r="G122" s="199"/>
      <c r="H122" s="199"/>
      <c r="I122" s="199"/>
      <c r="J122" s="199"/>
      <c r="K122" s="228"/>
      <c r="L122" s="199"/>
      <c r="M122" s="199"/>
      <c r="N122" s="199"/>
      <c r="O122" s="199"/>
      <c r="P122" s="199"/>
    </row>
    <row r="123" spans="1:16" x14ac:dyDescent="0.35">
      <c r="A123" s="191" t="s">
        <v>157</v>
      </c>
      <c r="B123" s="191"/>
      <c r="C123" s="191"/>
      <c r="D123" s="191"/>
      <c r="E123" s="191"/>
      <c r="F123" s="192">
        <f>F64/F12</f>
        <v>3.2231829466655253E-2</v>
      </c>
      <c r="G123" s="192">
        <f>G64/G12</f>
        <v>1.0069225928256766E-2</v>
      </c>
      <c r="H123" s="192">
        <f>H64/H12</f>
        <v>4.2341891527772433E-4</v>
      </c>
      <c r="I123" s="192">
        <f>I64/I12</f>
        <v>-9.8772936215476958E-3</v>
      </c>
      <c r="J123" s="192">
        <f>J64/J12</f>
        <v>2.4334870521461511E-2</v>
      </c>
      <c r="K123" s="226">
        <f t="shared" si="50"/>
        <v>1.1436410242020712E-2</v>
      </c>
      <c r="L123" s="192">
        <f>L64/L12</f>
        <v>0</v>
      </c>
      <c r="M123" s="192">
        <f>M64/M12</f>
        <v>0</v>
      </c>
      <c r="N123" s="192">
        <f>N64/N12</f>
        <v>0</v>
      </c>
      <c r="O123" s="192">
        <f>O64/O12</f>
        <v>0</v>
      </c>
      <c r="P123" s="192">
        <f>P64/P12</f>
        <v>0</v>
      </c>
    </row>
    <row r="124" spans="1:16" x14ac:dyDescent="0.35">
      <c r="A124" s="196"/>
      <c r="B124" s="196"/>
      <c r="C124" s="196"/>
      <c r="D124" s="196"/>
      <c r="E124" s="196"/>
      <c r="F124" s="198"/>
      <c r="G124" s="198"/>
      <c r="H124" s="198"/>
      <c r="I124" s="198"/>
      <c r="J124" s="198"/>
      <c r="K124" s="148"/>
      <c r="L124" s="198"/>
      <c r="M124" s="198"/>
      <c r="N124" s="198"/>
      <c r="O124" s="198"/>
      <c r="P124" s="198"/>
    </row>
    <row r="125" spans="1:16" x14ac:dyDescent="0.35">
      <c r="A125" s="191" t="s">
        <v>158</v>
      </c>
      <c r="B125" s="191"/>
      <c r="C125" s="191"/>
      <c r="D125" s="191"/>
      <c r="E125" s="191"/>
      <c r="F125" s="192">
        <f>F72/F68</f>
        <v>0.14998587703606064</v>
      </c>
      <c r="G125" s="192">
        <f>G72/G68</f>
        <v>0.13814342278926528</v>
      </c>
      <c r="H125" s="192">
        <f>H72/H68</f>
        <v>0.12822566292934687</v>
      </c>
      <c r="I125" s="192">
        <f>I72/I68</f>
        <v>0.13783783783783785</v>
      </c>
      <c r="J125" s="192">
        <f>J72/J68</f>
        <v>0.16501622701173338</v>
      </c>
      <c r="K125" s="226">
        <f t="shared" si="50"/>
        <v>0.1438418055208488</v>
      </c>
      <c r="L125" s="192">
        <f>L72/L68</f>
        <v>0.21</v>
      </c>
      <c r="M125" s="192">
        <f>M72/M68</f>
        <v>0.21000000000000002</v>
      </c>
      <c r="N125" s="192">
        <f>N72/N68</f>
        <v>0.21</v>
      </c>
      <c r="O125" s="192">
        <f>O72/O68</f>
        <v>0.20999999999999996</v>
      </c>
      <c r="P125" s="192">
        <f>P72/P68</f>
        <v>0.21</v>
      </c>
    </row>
    <row r="126" spans="1:16" x14ac:dyDescent="0.35">
      <c r="A126" s="196"/>
      <c r="B126" s="196"/>
      <c r="C126" s="196"/>
      <c r="D126" s="196"/>
      <c r="E126" s="196"/>
      <c r="F126" s="198"/>
      <c r="G126" s="198"/>
      <c r="H126" s="198"/>
      <c r="I126" s="198"/>
      <c r="J126" s="198"/>
      <c r="K126" s="148"/>
      <c r="L126" s="198"/>
      <c r="M126" s="198"/>
      <c r="N126" s="198"/>
      <c r="O126" s="198"/>
      <c r="P126" s="198"/>
    </row>
    <row r="127" spans="1:16" x14ac:dyDescent="0.35">
      <c r="A127" s="191" t="s">
        <v>159</v>
      </c>
      <c r="B127" s="191"/>
      <c r="C127" s="191"/>
      <c r="D127" s="191"/>
      <c r="E127" s="191"/>
      <c r="F127" s="192">
        <f>F72/F12</f>
        <v>6.8187655166509722E-2</v>
      </c>
      <c r="G127" s="192">
        <f>G72/G12</f>
        <v>6.1752674638137196E-2</v>
      </c>
      <c r="H127" s="192">
        <f>H72/H12</f>
        <v>5.5467877901381885E-2</v>
      </c>
      <c r="I127" s="192">
        <f>I72/I12</f>
        <v>5.8124074003722978E-2</v>
      </c>
      <c r="J127" s="192">
        <f>J72/J12</f>
        <v>7.0344093650230574E-2</v>
      </c>
      <c r="K127" s="226">
        <f t="shared" si="50"/>
        <v>6.277527507199647E-2</v>
      </c>
      <c r="L127" s="192">
        <f>L72/L12</f>
        <v>7.758380805216035E-2</v>
      </c>
      <c r="M127" s="192">
        <f>M72/M12</f>
        <v>8.0641160048851773E-2</v>
      </c>
      <c r="N127" s="192">
        <f>N72/N12</f>
        <v>8.4580395001114292E-2</v>
      </c>
      <c r="O127" s="192">
        <f>O72/O12</f>
        <v>8.8319224795646301E-2</v>
      </c>
      <c r="P127" s="192">
        <f>P72/P12</f>
        <v>9.120374304451867E-2</v>
      </c>
    </row>
    <row r="128" spans="1:16" x14ac:dyDescent="0.35">
      <c r="K128" s="130"/>
    </row>
    <row r="129" spans="1:16" x14ac:dyDescent="0.35">
      <c r="A129" s="12" t="s">
        <v>263</v>
      </c>
      <c r="F129" s="52">
        <v>308</v>
      </c>
      <c r="G129" s="52">
        <v>330</v>
      </c>
      <c r="H129" s="52">
        <v>341</v>
      </c>
      <c r="I129" s="52">
        <v>401</v>
      </c>
      <c r="J129" s="52">
        <v>431</v>
      </c>
      <c r="K129" s="132"/>
      <c r="L129" s="456">
        <f>L38*$K$130</f>
        <v>493.50375103775741</v>
      </c>
      <c r="M129" s="456">
        <f>M38*$K$130</f>
        <v>519.21273395317996</v>
      </c>
      <c r="N129" s="456">
        <f>N38*$K$130</f>
        <v>545.50309107535577</v>
      </c>
      <c r="O129" s="456">
        <f>O38*$K$130</f>
        <v>566.7478188965672</v>
      </c>
      <c r="P129" s="456">
        <f>P38*$K$130</f>
        <v>590.87900488006221</v>
      </c>
    </row>
    <row r="130" spans="1:16" x14ac:dyDescent="0.35">
      <c r="A130" s="12" t="s">
        <v>264</v>
      </c>
      <c r="F130" s="46">
        <f>F129/F35</f>
        <v>7.1511492918504754E-2</v>
      </c>
      <c r="G130" s="46">
        <f>G129/G35</f>
        <v>6.8153655514250316E-2</v>
      </c>
      <c r="H130" s="46">
        <f>H129/H35</f>
        <v>7.6337586747257671E-2</v>
      </c>
      <c r="I130" s="46">
        <f>I129/I35</f>
        <v>9.0051650572647648E-2</v>
      </c>
      <c r="J130" s="46">
        <f>J129/J35</f>
        <v>9.274800946847428E-2</v>
      </c>
      <c r="K130" s="225">
        <f>AVERAGE(F130:J130)</f>
        <v>7.9760479044226923E-2</v>
      </c>
      <c r="L130" s="52"/>
      <c r="M130" s="52"/>
      <c r="N130" s="52"/>
      <c r="O130" s="52"/>
      <c r="P130" s="52"/>
    </row>
    <row r="131" spans="1:16" x14ac:dyDescent="0.35">
      <c r="K131" s="130"/>
    </row>
    <row r="132" spans="1:16" x14ac:dyDescent="0.35">
      <c r="A132" s="499" t="s">
        <v>77</v>
      </c>
      <c r="B132" s="500"/>
      <c r="C132" s="201"/>
      <c r="D132" s="201"/>
      <c r="E132" s="201"/>
      <c r="F132" s="202" t="s">
        <v>84</v>
      </c>
      <c r="G132" s="202" t="s">
        <v>85</v>
      </c>
      <c r="H132" s="202" t="s">
        <v>86</v>
      </c>
      <c r="I132" s="202" t="s">
        <v>87</v>
      </c>
      <c r="J132" s="203" t="s">
        <v>170</v>
      </c>
      <c r="K132" s="229"/>
      <c r="L132" s="204"/>
      <c r="M132" s="205"/>
      <c r="N132" s="205"/>
      <c r="O132" s="205"/>
      <c r="P132" s="205"/>
    </row>
    <row r="133" spans="1:16" x14ac:dyDescent="0.35">
      <c r="A133" s="501"/>
      <c r="B133" s="502"/>
      <c r="F133" s="206"/>
      <c r="G133" s="206"/>
      <c r="H133" s="206"/>
      <c r="I133" s="206"/>
      <c r="J133" s="207"/>
      <c r="K133" s="130"/>
    </row>
    <row r="134" spans="1:16" x14ac:dyDescent="0.35">
      <c r="A134" s="503"/>
      <c r="B134" s="504"/>
      <c r="C134" s="91"/>
      <c r="D134" s="91"/>
      <c r="E134" s="91"/>
      <c r="F134" s="208" t="s">
        <v>166</v>
      </c>
      <c r="G134" s="208" t="s">
        <v>167</v>
      </c>
      <c r="H134" s="208" t="s">
        <v>168</v>
      </c>
      <c r="I134" s="208" t="s">
        <v>169</v>
      </c>
      <c r="J134" s="209" t="s">
        <v>170</v>
      </c>
      <c r="K134" s="130"/>
    </row>
    <row r="138" spans="1:16" x14ac:dyDescent="0.35">
      <c r="L138" s="103">
        <f>CFS!F19/IS!L89</f>
        <v>1.1392607352965363</v>
      </c>
      <c r="M138" s="103">
        <f>CFS!G19/IS!M89</f>
        <v>1.0407642301999822</v>
      </c>
      <c r="N138" s="103">
        <f>CFS!H19/IS!N89</f>
        <v>1.0468264161645999</v>
      </c>
      <c r="O138" s="103">
        <f>CFS!I19/IS!O89</f>
        <v>1.0635290718936243</v>
      </c>
      <c r="P138" s="103">
        <f>CFS!J19/IS!P89</f>
        <v>1.0663214574110103</v>
      </c>
    </row>
    <row r="233" spans="2:2" x14ac:dyDescent="0.35">
      <c r="B233" s="153" t="s">
        <v>114</v>
      </c>
    </row>
    <row r="234" spans="2:2" ht="15.5" x14ac:dyDescent="0.35">
      <c r="B234" s="158" t="s">
        <v>131</v>
      </c>
    </row>
  </sheetData>
  <mergeCells count="4">
    <mergeCell ref="A132:B134"/>
    <mergeCell ref="K1:K3"/>
    <mergeCell ref="S11:X16"/>
    <mergeCell ref="A1:B1"/>
  </mergeCells>
  <phoneticPr fontId="6" type="noConversion"/>
  <hyperlinks>
    <hyperlink ref="F132:H132" r:id="rId1" display="10-K Report 2019" xr:uid="{620E2714-9980-4E2C-B9AE-560E2ED16EE2}"/>
    <hyperlink ref="G132:I132" r:id="rId2" display="10-K Report 2020" xr:uid="{2C0EF6C2-9506-4A15-81C5-EC7ED157ED6C}"/>
    <hyperlink ref="F134" r:id="rId3" xr:uid="{4EE3BD13-8BCE-42D8-A987-E8D7878EF680}"/>
    <hyperlink ref="G134" r:id="rId4" xr:uid="{18A51498-0724-47C5-B99F-BF0D64BA88BE}"/>
    <hyperlink ref="H134" r:id="rId5" xr:uid="{E57DF6D4-9A20-44F8-AC16-01DAA4C2F9D3}"/>
    <hyperlink ref="I134" r:id="rId6" xr:uid="{00D2BD5A-1CA6-41B0-A601-FF9CB04B3B99}"/>
    <hyperlink ref="J134" r:id="rId7" xr:uid="{7FE144FD-92BE-4932-99D0-B138CA8C4CDF}"/>
    <hyperlink ref="J132" r:id="rId8" xr:uid="{733DBAE4-B2DE-4EE3-BD48-55EAFB70999F}"/>
  </hyperlinks>
  <pageMargins left="0.7" right="0.7" top="0.75" bottom="0.75" header="0.3" footer="0.3"/>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5A0A0-6582-4578-915C-AAE969749BED}">
  <dimension ref="A1:N49"/>
  <sheetViews>
    <sheetView zoomScale="49" workbookViewId="0">
      <pane xSplit="5" ySplit="5" topLeftCell="F8" activePane="bottomRight" state="frozen"/>
      <selection pane="topRight" activeCell="F1" sqref="F1"/>
      <selection pane="bottomLeft" activeCell="A6" sqref="A6"/>
      <selection pane="bottomRight" activeCell="F41" sqref="F41"/>
    </sheetView>
  </sheetViews>
  <sheetFormatPr defaultRowHeight="14.5" x14ac:dyDescent="0.35"/>
  <cols>
    <col min="1" max="4" width="8.7265625" style="12"/>
    <col min="5" max="5" width="26.453125" style="12" customWidth="1"/>
    <col min="6" max="10" width="13.6328125" style="12" customWidth="1"/>
    <col min="11" max="14" width="9.1796875" style="12" bestFit="1" customWidth="1"/>
    <col min="15" max="16384" width="8.7265625" style="12"/>
  </cols>
  <sheetData>
    <row r="1" spans="1:13" ht="21" customHeight="1" x14ac:dyDescent="0.5">
      <c r="A1" s="472" t="s">
        <v>12</v>
      </c>
      <c r="B1" s="472"/>
      <c r="C1" s="2"/>
      <c r="D1" s="2"/>
      <c r="E1" s="2"/>
      <c r="F1" s="85" t="s">
        <v>100</v>
      </c>
      <c r="G1" s="85" t="s">
        <v>100</v>
      </c>
      <c r="H1" s="85" t="s">
        <v>100</v>
      </c>
      <c r="I1" s="85" t="s">
        <v>100</v>
      </c>
      <c r="J1" s="85" t="s">
        <v>100</v>
      </c>
    </row>
    <row r="2" spans="1:13" x14ac:dyDescent="0.35">
      <c r="A2" s="69" t="s">
        <v>403</v>
      </c>
      <c r="B2" s="69"/>
      <c r="C2" s="61"/>
      <c r="D2" s="61"/>
      <c r="E2" s="61"/>
      <c r="F2" s="86"/>
      <c r="G2" s="86"/>
      <c r="H2" s="86"/>
      <c r="I2" s="86"/>
      <c r="J2" s="86"/>
    </row>
    <row r="3" spans="1:13" x14ac:dyDescent="0.35">
      <c r="A3" s="61"/>
      <c r="B3" s="61"/>
      <c r="C3" s="61"/>
      <c r="D3" s="61"/>
      <c r="E3" s="112"/>
      <c r="F3" s="464">
        <v>45657</v>
      </c>
      <c r="G3" s="464">
        <v>46022</v>
      </c>
      <c r="H3" s="464">
        <v>46387</v>
      </c>
      <c r="I3" s="464">
        <v>46752</v>
      </c>
      <c r="J3" s="464">
        <v>47118</v>
      </c>
    </row>
    <row r="4" spans="1:13" x14ac:dyDescent="0.35">
      <c r="A4" s="61"/>
      <c r="B4" s="61"/>
      <c r="C4" s="61"/>
      <c r="D4" s="61"/>
      <c r="E4" s="61"/>
      <c r="F4" s="2"/>
      <c r="G4" s="2"/>
      <c r="H4" s="2"/>
      <c r="I4" s="2"/>
      <c r="J4" s="2"/>
    </row>
    <row r="5" spans="1:13" x14ac:dyDescent="0.35">
      <c r="A5" s="61"/>
      <c r="B5" s="61"/>
      <c r="C5" s="61"/>
      <c r="D5" s="61"/>
      <c r="E5" s="61"/>
      <c r="F5" s="87" t="s">
        <v>106</v>
      </c>
      <c r="G5" s="87" t="s">
        <v>107</v>
      </c>
      <c r="H5" s="87" t="s">
        <v>108</v>
      </c>
      <c r="I5" s="87" t="s">
        <v>109</v>
      </c>
      <c r="J5" s="87" t="s">
        <v>110</v>
      </c>
    </row>
    <row r="6" spans="1:13" x14ac:dyDescent="0.35">
      <c r="F6" s="72"/>
      <c r="G6" s="72"/>
      <c r="H6" s="72"/>
      <c r="I6" s="72"/>
      <c r="J6" s="72"/>
      <c r="K6" s="72"/>
      <c r="L6" s="72"/>
      <c r="M6" s="72"/>
    </row>
    <row r="7" spans="1:13" x14ac:dyDescent="0.35">
      <c r="A7" s="49"/>
      <c r="F7" s="72"/>
      <c r="G7" s="72"/>
      <c r="H7" s="72"/>
      <c r="I7" s="72"/>
      <c r="J7" s="72"/>
      <c r="K7" s="72"/>
      <c r="L7" s="72"/>
      <c r="M7" s="72"/>
    </row>
    <row r="8" spans="1:13" x14ac:dyDescent="0.35">
      <c r="A8" s="73" t="s">
        <v>229</v>
      </c>
      <c r="B8" s="73"/>
      <c r="C8" s="73"/>
      <c r="D8" s="73"/>
      <c r="E8" s="73"/>
      <c r="F8" s="72"/>
      <c r="G8" s="72"/>
      <c r="H8" s="72"/>
      <c r="I8" s="72"/>
      <c r="J8" s="72"/>
      <c r="K8" s="72"/>
      <c r="L8" s="72"/>
      <c r="M8" s="72"/>
    </row>
    <row r="9" spans="1:13" x14ac:dyDescent="0.35">
      <c r="A9" s="74" t="s">
        <v>227</v>
      </c>
      <c r="B9" s="73"/>
      <c r="C9" s="73"/>
      <c r="D9" s="73"/>
      <c r="E9" s="73"/>
      <c r="F9" s="72">
        <f>IS!L76</f>
        <v>9380.1911339763992</v>
      </c>
      <c r="G9" s="72">
        <f>IS!M76</f>
        <v>10213.511365030921</v>
      </c>
      <c r="H9" s="72">
        <f>IS!N76</f>
        <v>11202.213195849443</v>
      </c>
      <c r="I9" s="72">
        <f>IS!O76</f>
        <v>12078.706326138337</v>
      </c>
      <c r="J9" s="72">
        <f>IS!P76</f>
        <v>12924.575023561309</v>
      </c>
      <c r="K9" s="72"/>
      <c r="L9" s="72"/>
      <c r="M9" s="72"/>
    </row>
    <row r="10" spans="1:13" x14ac:dyDescent="0.35">
      <c r="A10" s="74" t="s">
        <v>230</v>
      </c>
      <c r="B10" s="73"/>
      <c r="C10" s="73"/>
      <c r="D10" s="73"/>
      <c r="E10" s="73"/>
      <c r="F10" s="72">
        <f>-'FA Schedule'!L9-'FA Schedule'!L34</f>
        <v>5310.526316548342</v>
      </c>
      <c r="G10" s="72">
        <f>-'FA Schedule'!M9-'FA Schedule'!M34</f>
        <v>5062.8815918235587</v>
      </c>
      <c r="H10" s="72">
        <f>-'FA Schedule'!N9-'FA Schedule'!N34</f>
        <v>4520.6059827746831</v>
      </c>
      <c r="I10" s="72">
        <f>-'FA Schedule'!O9-'FA Schedule'!O34</f>
        <v>4584.2501006436551</v>
      </c>
      <c r="J10" s="72">
        <f>-'FA Schedule'!P9-'FA Schedule'!P34</f>
        <v>3654.4210227197177</v>
      </c>
      <c r="K10" s="72"/>
      <c r="L10" s="72"/>
      <c r="M10" s="72"/>
    </row>
    <row r="11" spans="1:13" x14ac:dyDescent="0.35">
      <c r="A11" s="12" t="s">
        <v>285</v>
      </c>
      <c r="F11" s="72">
        <f>(IS!L129)</f>
        <v>493.50375103775741</v>
      </c>
      <c r="G11" s="72">
        <f>(IS!M129)</f>
        <v>519.21273395317996</v>
      </c>
      <c r="H11" s="72">
        <f>(IS!N129)</f>
        <v>545.50309107535577</v>
      </c>
      <c r="I11" s="72">
        <f>(IS!O129)</f>
        <v>566.7478188965672</v>
      </c>
      <c r="J11" s="72">
        <f>(IS!P129)</f>
        <v>590.87900488006221</v>
      </c>
      <c r="K11" s="72"/>
      <c r="L11" s="72"/>
      <c r="M11" s="72"/>
    </row>
    <row r="12" spans="1:13" x14ac:dyDescent="0.35">
      <c r="F12" s="72"/>
      <c r="G12" s="72"/>
      <c r="H12" s="72"/>
      <c r="I12" s="72"/>
      <c r="J12" s="72"/>
      <c r="K12" s="72"/>
      <c r="L12" s="72"/>
      <c r="M12" s="72"/>
    </row>
    <row r="13" spans="1:13" x14ac:dyDescent="0.35">
      <c r="A13" s="75" t="s">
        <v>231</v>
      </c>
      <c r="B13" s="73"/>
      <c r="C13" s="73"/>
      <c r="D13" s="73"/>
      <c r="E13" s="73"/>
      <c r="K13" s="72"/>
      <c r="L13" s="72"/>
      <c r="M13" s="72"/>
    </row>
    <row r="14" spans="1:13" x14ac:dyDescent="0.35">
      <c r="A14" s="76" t="s">
        <v>211</v>
      </c>
      <c r="B14" s="73"/>
      <c r="C14" s="73"/>
      <c r="D14" s="73"/>
      <c r="E14" s="73"/>
      <c r="F14" s="77">
        <f>-(BS!L12-BS!J12)</f>
        <v>-976.78185645857957</v>
      </c>
      <c r="G14" s="77">
        <f>-(BS!M12-BS!L12)</f>
        <v>-392.09810755243234</v>
      </c>
      <c r="H14" s="77">
        <f>-(BS!N12-BS!M12)</f>
        <v>-394.88648265440679</v>
      </c>
      <c r="I14" s="77">
        <f>-(BS!O12-BS!N12)</f>
        <v>-294.41257345089434</v>
      </c>
      <c r="J14" s="77">
        <f>-(BS!P12-BS!O12)</f>
        <v>-337.49303560982116</v>
      </c>
      <c r="K14" s="72"/>
      <c r="L14" s="72"/>
      <c r="M14" s="72"/>
    </row>
    <row r="15" spans="1:13" x14ac:dyDescent="0.35">
      <c r="A15" s="74" t="s">
        <v>213</v>
      </c>
      <c r="B15" s="73"/>
      <c r="C15" s="73"/>
      <c r="D15" s="73"/>
      <c r="E15" s="73"/>
      <c r="F15" s="77">
        <f>-(BS!L13-BS!J13)</f>
        <v>1360.5121269495312</v>
      </c>
      <c r="G15" s="77">
        <f>-(BS!M13-BS!L13)</f>
        <v>61.813055280547815</v>
      </c>
      <c r="H15" s="77">
        <f>-(BS!N13-BS!M13)</f>
        <v>100.18109860203458</v>
      </c>
      <c r="I15" s="77">
        <f>-(BS!O13-BS!N13)</f>
        <v>225.02177366311753</v>
      </c>
      <c r="J15" s="77">
        <f>-(BS!P13-BS!O13)</f>
        <v>222.03365579813544</v>
      </c>
      <c r="K15" s="72"/>
      <c r="L15" s="72"/>
      <c r="M15" s="72"/>
    </row>
    <row r="16" spans="1:13" x14ac:dyDescent="0.35">
      <c r="A16" s="74" t="s">
        <v>215</v>
      </c>
      <c r="B16" s="73"/>
      <c r="C16" s="73"/>
      <c r="D16" s="73"/>
      <c r="E16" s="73"/>
      <c r="F16" s="72">
        <f>-(BS!L14-BS!J14)</f>
        <v>-213.74359029659672</v>
      </c>
      <c r="G16" s="72">
        <f>-(BS!M14-BS!L14)</f>
        <v>-133.90866518115718</v>
      </c>
      <c r="H16" s="72">
        <f>-(BS!N14-BS!M14)</f>
        <v>-134.86094620658832</v>
      </c>
      <c r="I16" s="72">
        <f>-(BS!O14-BS!N14)</f>
        <v>-100.5472711139937</v>
      </c>
      <c r="J16" s="72">
        <f>-(BS!P14-BS!O14)</f>
        <v>-115.26003578174505</v>
      </c>
      <c r="K16" s="72"/>
      <c r="L16" s="72"/>
      <c r="M16" s="72"/>
    </row>
    <row r="17" spans="1:14" x14ac:dyDescent="0.35">
      <c r="A17" s="74" t="s">
        <v>232</v>
      </c>
      <c r="B17" s="73"/>
      <c r="C17" s="73"/>
      <c r="D17" s="73"/>
      <c r="E17" s="73"/>
      <c r="F17" s="72">
        <f>BS!L28-BS!J28</f>
        <v>800.72709618252384</v>
      </c>
      <c r="G17" s="72">
        <f>BS!M28-BS!L28</f>
        <v>-18.115643989523051</v>
      </c>
      <c r="H17" s="72">
        <f>BS!N28-BS!M28</f>
        <v>-29.360223475717703</v>
      </c>
      <c r="I17" s="72">
        <f>BS!O28-BS!N28</f>
        <v>-65.947465678094431</v>
      </c>
      <c r="J17" s="72">
        <f>BS!P28-BS!O28</f>
        <v>-65.071733533888164</v>
      </c>
      <c r="K17" s="72"/>
      <c r="L17" s="72"/>
      <c r="M17" s="72"/>
    </row>
    <row r="18" spans="1:14" ht="15.5" customHeight="1" x14ac:dyDescent="0.35">
      <c r="A18" s="73"/>
      <c r="B18" s="73"/>
      <c r="C18" s="73"/>
      <c r="D18" s="73"/>
      <c r="E18" s="73"/>
      <c r="F18" s="72"/>
      <c r="G18" s="72"/>
      <c r="H18" s="72"/>
      <c r="I18" s="72"/>
      <c r="J18" s="72"/>
      <c r="K18" s="72"/>
      <c r="L18" s="72"/>
      <c r="M18" s="72"/>
    </row>
    <row r="19" spans="1:14" x14ac:dyDescent="0.35">
      <c r="A19" s="73" t="s">
        <v>233</v>
      </c>
      <c r="B19" s="73"/>
      <c r="C19" s="73"/>
      <c r="D19" s="73"/>
      <c r="E19" s="73"/>
      <c r="F19" s="78">
        <f>SUM(F9:F17)</f>
        <v>16154.934977939376</v>
      </c>
      <c r="G19" s="78">
        <f>SUM(G9:G17)</f>
        <v>15313.296329365097</v>
      </c>
      <c r="H19" s="78">
        <f>SUM(H9:H17)</f>
        <v>15809.395715964802</v>
      </c>
      <c r="I19" s="78">
        <f t="shared" ref="I19:J19" si="0">SUM(I9:I17)</f>
        <v>16993.81870909869</v>
      </c>
      <c r="J19" s="78">
        <f t="shared" si="0"/>
        <v>16874.083902033766</v>
      </c>
      <c r="K19" s="72"/>
      <c r="L19" s="72"/>
      <c r="M19" s="72"/>
    </row>
    <row r="20" spans="1:14" x14ac:dyDescent="0.35">
      <c r="A20" s="73"/>
      <c r="B20" s="73"/>
      <c r="C20" s="73"/>
      <c r="D20" s="73"/>
      <c r="E20" s="73"/>
      <c r="F20" s="72"/>
      <c r="G20" s="72"/>
      <c r="H20" s="72"/>
      <c r="I20" s="72"/>
      <c r="J20" s="72"/>
      <c r="K20" s="72"/>
      <c r="L20" s="72"/>
      <c r="M20" s="72"/>
    </row>
    <row r="21" spans="1:14" x14ac:dyDescent="0.35">
      <c r="A21" s="73" t="s">
        <v>234</v>
      </c>
      <c r="B21" s="73"/>
      <c r="C21" s="73"/>
      <c r="D21" s="73"/>
      <c r="E21" s="73"/>
      <c r="F21" s="72"/>
      <c r="G21" s="72"/>
      <c r="H21" s="72"/>
      <c r="I21" s="72"/>
      <c r="J21" s="72"/>
      <c r="K21" s="72"/>
      <c r="L21" s="72"/>
      <c r="M21" s="72"/>
    </row>
    <row r="22" spans="1:14" x14ac:dyDescent="0.35">
      <c r="A22" s="74" t="s">
        <v>235</v>
      </c>
      <c r="B22" s="73"/>
      <c r="C22" s="73"/>
      <c r="D22" s="73"/>
      <c r="E22" s="73"/>
      <c r="F22" s="72">
        <f>-('FA Schedule'!L8+'FA Schedule'!L33)</f>
        <v>-4383.8851937655099</v>
      </c>
      <c r="G22" s="72">
        <f>-('FA Schedule'!M8+'FA Schedule'!M33)</f>
        <v>-4345.1309234201108</v>
      </c>
      <c r="H22" s="72">
        <f>-('FA Schedule'!N8+'FA Schedule'!N33)</f>
        <v>-4332.7942374399317</v>
      </c>
      <c r="I22" s="72">
        <f>-('FA Schedule'!O8+'FA Schedule'!O33)</f>
        <v>-4379.5469430405619</v>
      </c>
      <c r="J22" s="72">
        <f>-('FA Schedule'!P8+'FA Schedule'!P33)</f>
        <v>-4431.3311097086162</v>
      </c>
      <c r="K22" s="72"/>
      <c r="L22" s="72"/>
      <c r="M22" s="72"/>
    </row>
    <row r="23" spans="1:14" ht="15.5" customHeight="1" x14ac:dyDescent="0.35">
      <c r="A23" s="79"/>
      <c r="B23" s="73"/>
      <c r="C23" s="73"/>
      <c r="D23" s="73"/>
      <c r="E23" s="73"/>
      <c r="F23" s="72"/>
      <c r="G23" s="72"/>
      <c r="H23" s="72"/>
      <c r="I23" s="72"/>
      <c r="J23" s="72"/>
      <c r="K23" s="72"/>
      <c r="L23" s="72"/>
      <c r="M23" s="72"/>
    </row>
    <row r="24" spans="1:14" x14ac:dyDescent="0.35">
      <c r="A24" s="73" t="s">
        <v>236</v>
      </c>
      <c r="B24" s="73"/>
      <c r="C24" s="73"/>
      <c r="D24" s="73"/>
      <c r="E24" s="73"/>
      <c r="F24" s="78">
        <f>F22</f>
        <v>-4383.8851937655099</v>
      </c>
      <c r="G24" s="78">
        <f t="shared" ref="G24:J24" si="1">G22</f>
        <v>-4345.1309234201108</v>
      </c>
      <c r="H24" s="78">
        <f t="shared" si="1"/>
        <v>-4332.7942374399317</v>
      </c>
      <c r="I24" s="78">
        <f t="shared" si="1"/>
        <v>-4379.5469430405619</v>
      </c>
      <c r="J24" s="78">
        <f t="shared" si="1"/>
        <v>-4431.3311097086162</v>
      </c>
      <c r="K24" s="72"/>
      <c r="L24" s="72"/>
      <c r="M24" s="72"/>
    </row>
    <row r="25" spans="1:14" x14ac:dyDescent="0.35">
      <c r="A25" s="79"/>
      <c r="B25" s="73"/>
      <c r="C25" s="73"/>
      <c r="D25" s="73"/>
      <c r="E25" s="73"/>
      <c r="F25" s="72"/>
      <c r="G25" s="72"/>
      <c r="H25" s="72"/>
      <c r="I25" s="72"/>
      <c r="J25" s="72"/>
      <c r="K25" s="72"/>
      <c r="L25" s="72"/>
      <c r="M25" s="72"/>
    </row>
    <row r="26" spans="1:14" ht="15.5" customHeight="1" x14ac:dyDescent="0.35">
      <c r="A26" s="73" t="s">
        <v>237</v>
      </c>
      <c r="B26" s="73"/>
      <c r="C26" s="73"/>
      <c r="D26" s="73"/>
      <c r="E26" s="73"/>
      <c r="F26" s="80"/>
      <c r="G26" s="80"/>
      <c r="H26" s="80"/>
      <c r="I26" s="80"/>
      <c r="J26" s="80"/>
      <c r="K26" s="78"/>
      <c r="L26" s="78"/>
      <c r="M26" s="78"/>
      <c r="N26" s="48"/>
    </row>
    <row r="27" spans="1:14" ht="15.5" customHeight="1" x14ac:dyDescent="0.35">
      <c r="A27" s="74" t="s">
        <v>238</v>
      </c>
      <c r="B27" s="73"/>
      <c r="C27" s="73"/>
      <c r="D27" s="73"/>
      <c r="E27" s="73"/>
      <c r="F27" s="72">
        <f>-(IS!L93*IS!L86)</f>
        <v>-3909.6726657300101</v>
      </c>
      <c r="G27" s="72">
        <f>-(IS!M93*IS!M86)</f>
        <v>-4257.0013376749448</v>
      </c>
      <c r="H27" s="72">
        <f>-(IS!N93*IS!N86)</f>
        <v>-4669.0932095033331</v>
      </c>
      <c r="I27" s="72">
        <f>-(IS!O93*IS!O86)</f>
        <v>-5034.4163872772124</v>
      </c>
      <c r="J27" s="72">
        <f>-(IS!P93*IS!P86)</f>
        <v>-5386.9752720458346</v>
      </c>
      <c r="K27" s="72"/>
      <c r="L27" s="72"/>
      <c r="M27" s="72"/>
    </row>
    <row r="28" spans="1:14" x14ac:dyDescent="0.35">
      <c r="A28" s="74" t="s">
        <v>239</v>
      </c>
      <c r="B28" s="73"/>
      <c r="C28" s="73"/>
      <c r="D28" s="73"/>
      <c r="E28" s="73"/>
      <c r="F28" s="72">
        <f>F19+F24+F27</f>
        <v>7861.3771184438556</v>
      </c>
      <c r="G28" s="72">
        <f>G19+G24+G27</f>
        <v>6711.1640682700418</v>
      </c>
      <c r="H28" s="72">
        <f>H19+H24+H27</f>
        <v>6807.5082690215368</v>
      </c>
      <c r="I28" s="72">
        <f>I19+I24+I27</f>
        <v>7579.8553787809169</v>
      </c>
      <c r="J28" s="72">
        <f>J19+J24+J27</f>
        <v>7055.7775202793164</v>
      </c>
      <c r="K28" s="72"/>
      <c r="L28" s="72"/>
      <c r="M28" s="72"/>
    </row>
    <row r="29" spans="1:14" x14ac:dyDescent="0.35">
      <c r="A29" s="73"/>
      <c r="B29" s="73"/>
      <c r="C29" s="73"/>
      <c r="D29" s="73"/>
      <c r="E29" s="73"/>
      <c r="F29" s="72"/>
      <c r="G29" s="72"/>
      <c r="H29" s="72"/>
      <c r="I29" s="72"/>
      <c r="J29" s="72"/>
      <c r="K29" s="72"/>
      <c r="L29" s="72"/>
      <c r="M29" s="72"/>
    </row>
    <row r="30" spans="1:14" x14ac:dyDescent="0.35">
      <c r="A30" s="74" t="s">
        <v>240</v>
      </c>
      <c r="B30" s="73"/>
      <c r="C30" s="73"/>
      <c r="D30" s="73"/>
      <c r="E30" s="73"/>
      <c r="F30" s="72">
        <f>'Debt Schedule'!F13</f>
        <v>0</v>
      </c>
      <c r="G30" s="72">
        <f>'Debt Schedule'!G13</f>
        <v>0</v>
      </c>
      <c r="H30" s="72">
        <f>'Debt Schedule'!H13</f>
        <v>0</v>
      </c>
      <c r="I30" s="72">
        <f>'Debt Schedule'!I13</f>
        <v>0</v>
      </c>
      <c r="J30" s="72">
        <f>'Debt Schedule'!J13</f>
        <v>0</v>
      </c>
      <c r="K30" s="72"/>
      <c r="L30" s="72"/>
      <c r="M30" s="72"/>
    </row>
    <row r="31" spans="1:14" x14ac:dyDescent="0.35">
      <c r="A31" s="74" t="s">
        <v>241</v>
      </c>
      <c r="B31" s="73"/>
      <c r="C31" s="73"/>
      <c r="D31" s="73"/>
      <c r="E31" s="73"/>
      <c r="F31" s="72">
        <f>('Debt Schedule'!F11)</f>
        <v>1403</v>
      </c>
      <c r="G31" s="72">
        <f>('Debt Schedule'!G11)</f>
        <v>5500</v>
      </c>
      <c r="H31" s="72">
        <f>('Debt Schedule'!H11)</f>
        <v>6183</v>
      </c>
      <c r="I31" s="72">
        <f>('Debt Schedule'!I11)</f>
        <v>2724</v>
      </c>
      <c r="J31" s="72">
        <f>('Debt Schedule'!J11)</f>
        <v>4984</v>
      </c>
      <c r="K31" s="72"/>
      <c r="L31" s="72"/>
      <c r="M31" s="72"/>
    </row>
    <row r="32" spans="1:14" x14ac:dyDescent="0.35">
      <c r="A32" s="79"/>
      <c r="B32" s="73"/>
      <c r="C32" s="73"/>
      <c r="D32" s="73"/>
      <c r="E32" s="73"/>
      <c r="F32" s="72"/>
      <c r="G32" s="72"/>
      <c r="H32" s="72"/>
      <c r="I32" s="72"/>
      <c r="J32" s="72"/>
      <c r="K32" s="72"/>
      <c r="L32" s="72"/>
      <c r="M32" s="72"/>
    </row>
    <row r="33" spans="1:14" ht="15.5" customHeight="1" x14ac:dyDescent="0.35">
      <c r="A33" s="74"/>
      <c r="B33" s="73"/>
      <c r="C33" s="73"/>
      <c r="D33" s="73"/>
      <c r="E33" s="73"/>
      <c r="F33" s="72"/>
      <c r="G33" s="72"/>
      <c r="H33" s="72"/>
      <c r="I33" s="72"/>
      <c r="J33" s="72"/>
      <c r="K33" s="72"/>
      <c r="L33" s="72"/>
      <c r="M33" s="72"/>
    </row>
    <row r="34" spans="1:14" x14ac:dyDescent="0.35">
      <c r="A34" s="73" t="s">
        <v>242</v>
      </c>
      <c r="B34" s="73"/>
      <c r="C34" s="73"/>
      <c r="D34" s="73"/>
      <c r="E34" s="73"/>
      <c r="F34" s="78">
        <f>F27+F30-F31</f>
        <v>-5312.6726657300096</v>
      </c>
      <c r="G34" s="78">
        <f>G27+G30-G31</f>
        <v>-9757.0013376749448</v>
      </c>
      <c r="H34" s="78">
        <f t="shared" ref="H34:J34" si="2">H27+H30-H31</f>
        <v>-10852.093209503333</v>
      </c>
      <c r="I34" s="78">
        <f>I27+I30-I31</f>
        <v>-7758.4163872772124</v>
      </c>
      <c r="J34" s="78">
        <f t="shared" si="2"/>
        <v>-10370.975272045835</v>
      </c>
      <c r="K34" s="72"/>
      <c r="L34" s="72"/>
      <c r="M34" s="72"/>
    </row>
    <row r="35" spans="1:14" ht="15.5" customHeight="1" x14ac:dyDescent="0.35">
      <c r="A35" s="79"/>
      <c r="B35" s="73"/>
      <c r="C35" s="73"/>
      <c r="D35" s="73"/>
      <c r="E35" s="73"/>
      <c r="F35" s="72"/>
      <c r="G35" s="72"/>
      <c r="H35" s="72"/>
      <c r="I35" s="72"/>
      <c r="J35" s="72"/>
      <c r="K35" s="72"/>
      <c r="L35" s="72"/>
      <c r="M35" s="72"/>
    </row>
    <row r="36" spans="1:14" ht="15.5" customHeight="1" x14ac:dyDescent="0.35">
      <c r="A36" s="73" t="s">
        <v>243</v>
      </c>
      <c r="B36" s="73"/>
      <c r="C36" s="73"/>
      <c r="D36" s="73"/>
      <c r="E36" s="73"/>
      <c r="F36" s="78">
        <f>F34+F24+F19</f>
        <v>6458.3771184438574</v>
      </c>
      <c r="G36" s="78">
        <f>G34+G24+G19</f>
        <v>1211.1640682700418</v>
      </c>
      <c r="H36" s="78">
        <f t="shared" ref="H36:I36" si="3">H34+H24+H19</f>
        <v>624.50826902153676</v>
      </c>
      <c r="I36" s="78">
        <f t="shared" si="3"/>
        <v>4855.855378780916</v>
      </c>
      <c r="J36" s="78">
        <f>J34+J24+J19</f>
        <v>2071.7775202793164</v>
      </c>
      <c r="K36" s="78"/>
      <c r="L36" s="78"/>
      <c r="M36" s="78"/>
      <c r="N36" s="48"/>
    </row>
    <row r="37" spans="1:14" ht="15.5" customHeight="1" x14ac:dyDescent="0.35">
      <c r="A37" s="73" t="s">
        <v>244</v>
      </c>
      <c r="B37" s="73"/>
      <c r="C37" s="73"/>
      <c r="D37" s="73"/>
      <c r="E37" s="73"/>
      <c r="F37" s="72">
        <f>BS!J10</f>
        <v>10944</v>
      </c>
      <c r="G37" s="72">
        <f>F38</f>
        <v>17402.377118443859</v>
      </c>
      <c r="H37" s="72">
        <f t="shared" ref="H37:J37" si="4">G38</f>
        <v>18613.541186713901</v>
      </c>
      <c r="I37" s="72">
        <f t="shared" si="4"/>
        <v>19238.04945573544</v>
      </c>
      <c r="J37" s="72">
        <f t="shared" si="4"/>
        <v>24093.904834516354</v>
      </c>
      <c r="K37" s="72"/>
      <c r="L37" s="72"/>
      <c r="M37" s="72"/>
    </row>
    <row r="38" spans="1:14" x14ac:dyDescent="0.35">
      <c r="A38" s="81" t="s">
        <v>245</v>
      </c>
      <c r="B38" s="81"/>
      <c r="C38" s="81"/>
      <c r="D38" s="81"/>
      <c r="E38" s="81"/>
      <c r="F38" s="404">
        <f>F37+F36</f>
        <v>17402.377118443859</v>
      </c>
      <c r="G38" s="404">
        <f>G37+G36</f>
        <v>18613.541186713901</v>
      </c>
      <c r="H38" s="404">
        <f t="shared" ref="H38:J38" si="5">H37+H36</f>
        <v>19238.04945573544</v>
      </c>
      <c r="I38" s="404">
        <f t="shared" si="5"/>
        <v>24093.904834516354</v>
      </c>
      <c r="J38" s="404">
        <f t="shared" si="5"/>
        <v>26165.68235479567</v>
      </c>
      <c r="K38" s="72"/>
      <c r="L38" s="72"/>
      <c r="M38" s="72"/>
    </row>
    <row r="39" spans="1:14" x14ac:dyDescent="0.35">
      <c r="A39" s="73"/>
      <c r="B39" s="73"/>
      <c r="C39" s="73"/>
      <c r="D39" s="73"/>
      <c r="E39" s="73"/>
      <c r="F39" s="72"/>
      <c r="G39" s="72"/>
      <c r="H39" s="72"/>
      <c r="I39" s="72"/>
      <c r="J39" s="72"/>
      <c r="K39" s="72"/>
      <c r="L39" s="72"/>
      <c r="M39" s="72"/>
    </row>
    <row r="40" spans="1:14" x14ac:dyDescent="0.35">
      <c r="A40" s="73"/>
      <c r="B40" s="73"/>
      <c r="C40" s="73"/>
      <c r="D40" s="73"/>
      <c r="E40" s="73"/>
      <c r="F40" s="72"/>
      <c r="G40" s="72"/>
      <c r="H40" s="72"/>
      <c r="I40" s="72"/>
      <c r="J40" s="72"/>
      <c r="K40" s="72"/>
      <c r="L40" s="72"/>
      <c r="M40" s="72"/>
    </row>
    <row r="41" spans="1:14" x14ac:dyDescent="0.35">
      <c r="A41" s="451" t="s">
        <v>405</v>
      </c>
      <c r="B41" s="451"/>
      <c r="C41" s="451"/>
      <c r="D41" s="451"/>
      <c r="E41" s="451"/>
      <c r="F41" s="452">
        <f>F19/(BS!L28+BS!L30)</f>
        <v>2.0473316059498519</v>
      </c>
      <c r="G41" s="452">
        <f>G19/(BS!M28+BS!M30)</f>
        <v>1.7898541109460908</v>
      </c>
      <c r="H41" s="452">
        <f>H19/(BS!N28+BS!N30)</f>
        <v>3.1199155128463545</v>
      </c>
      <c r="I41" s="452">
        <f>I19/(BS!O28+BS!O30)</f>
        <v>2.3403260989574686</v>
      </c>
      <c r="J41" s="452">
        <f>J19/(BS!P28+BS!P30)</f>
        <v>2.7951177690462901</v>
      </c>
      <c r="K41" s="72"/>
      <c r="L41" s="72"/>
      <c r="M41" s="72"/>
    </row>
    <row r="42" spans="1:14" x14ac:dyDescent="0.35">
      <c r="A42" s="73"/>
      <c r="B42" s="73"/>
      <c r="C42" s="73"/>
      <c r="D42" s="73"/>
      <c r="E42" s="73"/>
      <c r="F42" s="72"/>
      <c r="G42" s="72"/>
      <c r="H42" s="72"/>
      <c r="I42" s="72"/>
      <c r="J42" s="72"/>
      <c r="K42" s="72"/>
      <c r="L42" s="72"/>
      <c r="M42" s="72"/>
    </row>
    <row r="43" spans="1:14" ht="15.5" customHeight="1" x14ac:dyDescent="0.35">
      <c r="A43" s="73"/>
      <c r="B43" s="73"/>
      <c r="C43" s="73"/>
      <c r="D43" s="73"/>
      <c r="E43" s="73"/>
      <c r="F43" s="72"/>
      <c r="G43" s="72"/>
      <c r="H43" s="72"/>
      <c r="I43" s="72"/>
      <c r="J43" s="72"/>
      <c r="K43" s="72"/>
      <c r="L43" s="72"/>
      <c r="M43" s="72"/>
    </row>
    <row r="44" spans="1:14" x14ac:dyDescent="0.35">
      <c r="A44" s="73"/>
      <c r="B44" s="73"/>
      <c r="C44" s="73"/>
      <c r="D44" s="73"/>
      <c r="E44" s="73"/>
      <c r="F44" s="72"/>
      <c r="G44" s="72"/>
      <c r="H44" s="72"/>
      <c r="I44" s="72"/>
      <c r="J44" s="72"/>
      <c r="K44" s="72"/>
      <c r="L44" s="72"/>
      <c r="M44" s="72"/>
    </row>
    <row r="45" spans="1:14" ht="15.5" customHeight="1" x14ac:dyDescent="0.35">
      <c r="A45" s="73"/>
      <c r="B45" s="73"/>
      <c r="C45" s="73"/>
      <c r="D45" s="73"/>
      <c r="E45" s="73"/>
      <c r="F45" s="78"/>
      <c r="G45" s="78"/>
      <c r="H45" s="78"/>
      <c r="I45" s="78"/>
      <c r="J45" s="78"/>
      <c r="K45" s="78"/>
      <c r="L45" s="78"/>
      <c r="M45" s="78"/>
      <c r="N45" s="48"/>
    </row>
    <row r="46" spans="1:14" x14ac:dyDescent="0.35">
      <c r="A46" s="73"/>
      <c r="B46" s="73"/>
      <c r="C46" s="73"/>
      <c r="D46" s="73"/>
      <c r="E46" s="73"/>
      <c r="F46" s="72"/>
      <c r="G46" s="72"/>
      <c r="H46" s="72"/>
      <c r="I46" s="72"/>
      <c r="J46" s="72"/>
      <c r="K46" s="72"/>
      <c r="L46" s="72"/>
      <c r="M46" s="72"/>
    </row>
    <row r="47" spans="1:14" ht="15.5" customHeight="1" x14ac:dyDescent="0.35">
      <c r="A47" s="73"/>
      <c r="B47" s="73"/>
      <c r="C47" s="73"/>
      <c r="D47" s="73"/>
      <c r="E47" s="73"/>
      <c r="F47" s="72"/>
      <c r="G47" s="72"/>
      <c r="H47" s="72"/>
      <c r="I47" s="72"/>
      <c r="J47" s="72"/>
      <c r="K47" s="72"/>
      <c r="L47" s="72"/>
      <c r="M47" s="72"/>
    </row>
    <row r="48" spans="1:14" x14ac:dyDescent="0.35">
      <c r="F48" s="72"/>
      <c r="G48" s="72"/>
      <c r="H48" s="72"/>
      <c r="I48" s="72"/>
      <c r="J48" s="72"/>
      <c r="K48" s="72"/>
      <c r="L48" s="72"/>
      <c r="M48" s="72"/>
    </row>
    <row r="49" spans="1:14" ht="15.5" x14ac:dyDescent="0.35">
      <c r="A49" s="82"/>
      <c r="B49" s="82"/>
      <c r="C49" s="82"/>
      <c r="D49" s="82"/>
      <c r="E49" s="82"/>
      <c r="F49" s="83"/>
      <c r="G49" s="83"/>
      <c r="H49" s="83"/>
      <c r="I49" s="84"/>
      <c r="J49" s="84"/>
      <c r="K49" s="84"/>
      <c r="L49" s="84"/>
      <c r="M49" s="84"/>
      <c r="N49" s="13"/>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20A2D-85E4-4E5F-9AA5-F98B6B47CAA8}">
  <dimension ref="A1:Q81"/>
  <sheetViews>
    <sheetView zoomScale="63" workbookViewId="0">
      <pane xSplit="5" ySplit="5" topLeftCell="G7" activePane="bottomRight" state="frozen"/>
      <selection pane="topRight" activeCell="F1" sqref="F1"/>
      <selection pane="bottomLeft" activeCell="A6" sqref="A6"/>
      <selection pane="bottomRight" activeCell="A34" sqref="A34:XFD34"/>
    </sheetView>
  </sheetViews>
  <sheetFormatPr defaultRowHeight="14.5" x14ac:dyDescent="0.35"/>
  <cols>
    <col min="1" max="4" width="8.7265625" style="12"/>
    <col min="5" max="5" width="35.36328125" style="12" customWidth="1"/>
    <col min="6" max="16" width="11.26953125" style="12" customWidth="1"/>
    <col min="17" max="16384" width="8.7265625" style="12"/>
  </cols>
  <sheetData>
    <row r="1" spans="1:17" ht="21" x14ac:dyDescent="0.5">
      <c r="A1" s="472" t="s">
        <v>12</v>
      </c>
      <c r="B1" s="472"/>
      <c r="C1" s="2"/>
      <c r="D1" s="2"/>
      <c r="E1" s="2"/>
      <c r="F1" s="9" t="s">
        <v>100</v>
      </c>
      <c r="G1" s="9" t="s">
        <v>100</v>
      </c>
      <c r="H1" s="9" t="s">
        <v>100</v>
      </c>
      <c r="I1" s="9" t="s">
        <v>100</v>
      </c>
      <c r="J1" s="9" t="s">
        <v>100</v>
      </c>
      <c r="K1" s="505" t="s">
        <v>160</v>
      </c>
      <c r="L1" s="85" t="s">
        <v>100</v>
      </c>
      <c r="M1" s="85" t="s">
        <v>100</v>
      </c>
      <c r="N1" s="85" t="s">
        <v>100</v>
      </c>
      <c r="O1" s="85" t="s">
        <v>100</v>
      </c>
      <c r="P1" s="85" t="s">
        <v>100</v>
      </c>
    </row>
    <row r="2" spans="1:17" x14ac:dyDescent="0.35">
      <c r="A2" s="69" t="s">
        <v>403</v>
      </c>
      <c r="B2" s="69"/>
      <c r="C2" s="69"/>
      <c r="D2" s="69"/>
      <c r="E2" s="69"/>
      <c r="F2" s="10"/>
      <c r="G2" s="10"/>
      <c r="H2" s="10"/>
      <c r="I2" s="10"/>
      <c r="J2" s="10"/>
      <c r="K2" s="505"/>
      <c r="L2" s="86"/>
      <c r="M2" s="86"/>
      <c r="N2" s="86"/>
      <c r="O2" s="86"/>
      <c r="P2" s="86"/>
    </row>
    <row r="3" spans="1:17" x14ac:dyDescent="0.35">
      <c r="A3" s="69"/>
      <c r="B3" s="69"/>
      <c r="C3" s="69"/>
      <c r="D3" s="69"/>
      <c r="E3" s="113"/>
      <c r="F3" s="466">
        <v>43830</v>
      </c>
      <c r="G3" s="466">
        <v>44196</v>
      </c>
      <c r="H3" s="466">
        <v>44561</v>
      </c>
      <c r="I3" s="466">
        <v>44926</v>
      </c>
      <c r="J3" s="466">
        <v>45291</v>
      </c>
      <c r="K3" s="505"/>
      <c r="L3" s="464">
        <v>45657</v>
      </c>
      <c r="M3" s="464">
        <v>46022</v>
      </c>
      <c r="N3" s="464">
        <v>46387</v>
      </c>
      <c r="O3" s="464">
        <v>46752</v>
      </c>
      <c r="P3" s="464">
        <v>47118</v>
      </c>
    </row>
    <row r="4" spans="1:17" x14ac:dyDescent="0.35">
      <c r="A4" s="69"/>
      <c r="B4" s="69"/>
      <c r="C4" s="69"/>
      <c r="D4" s="69"/>
      <c r="E4" s="69"/>
      <c r="F4" s="3"/>
      <c r="G4" s="3"/>
      <c r="H4" s="3"/>
      <c r="I4" s="3"/>
      <c r="J4" s="3"/>
      <c r="K4" s="130"/>
      <c r="L4" s="2"/>
      <c r="M4" s="2"/>
      <c r="N4" s="2"/>
      <c r="O4" s="2"/>
      <c r="P4" s="2"/>
    </row>
    <row r="5" spans="1:17" x14ac:dyDescent="0.35">
      <c r="A5" s="69" t="s">
        <v>176</v>
      </c>
      <c r="B5" s="69"/>
      <c r="C5" s="69"/>
      <c r="D5" s="69"/>
      <c r="E5" s="69"/>
      <c r="F5" s="8" t="s">
        <v>101</v>
      </c>
      <c r="G5" s="8" t="s">
        <v>102</v>
      </c>
      <c r="H5" s="8" t="s">
        <v>103</v>
      </c>
      <c r="I5" s="8" t="s">
        <v>104</v>
      </c>
      <c r="J5" s="8" t="s">
        <v>105</v>
      </c>
      <c r="K5" s="131"/>
      <c r="L5" s="87" t="s">
        <v>106</v>
      </c>
      <c r="M5" s="87" t="s">
        <v>107</v>
      </c>
      <c r="N5" s="87" t="s">
        <v>108</v>
      </c>
      <c r="O5" s="87" t="s">
        <v>109</v>
      </c>
      <c r="P5" s="87" t="s">
        <v>110</v>
      </c>
    </row>
    <row r="6" spans="1:17" x14ac:dyDescent="0.35">
      <c r="F6" s="52"/>
      <c r="G6" s="52"/>
      <c r="H6" s="52"/>
      <c r="I6" s="52"/>
      <c r="J6" s="52"/>
      <c r="K6" s="132"/>
      <c r="L6" s="52"/>
      <c r="M6" s="52"/>
      <c r="N6" s="52"/>
      <c r="O6" s="52"/>
      <c r="P6" s="52"/>
    </row>
    <row r="7" spans="1:17" x14ac:dyDescent="0.35">
      <c r="F7" s="52"/>
      <c r="G7" s="52"/>
      <c r="H7" s="52"/>
      <c r="I7" s="52"/>
      <c r="J7" s="52"/>
      <c r="K7" s="132"/>
      <c r="L7" s="52"/>
      <c r="M7" s="52"/>
      <c r="N7" s="52"/>
      <c r="O7" s="52"/>
      <c r="P7" s="52"/>
    </row>
    <row r="8" spans="1:17" x14ac:dyDescent="0.35">
      <c r="A8" s="48" t="s">
        <v>177</v>
      </c>
      <c r="F8" s="52"/>
      <c r="G8" s="52"/>
      <c r="H8" s="52"/>
      <c r="I8" s="52"/>
      <c r="J8" s="52"/>
      <c r="K8" s="132"/>
      <c r="L8" s="52"/>
      <c r="M8" s="52"/>
      <c r="N8" s="52"/>
      <c r="O8" s="52"/>
      <c r="P8" s="52"/>
    </row>
    <row r="9" spans="1:17" x14ac:dyDescent="0.35">
      <c r="A9" s="49" t="s">
        <v>192</v>
      </c>
      <c r="F9" s="52"/>
      <c r="G9" s="52"/>
      <c r="H9" s="52"/>
      <c r="I9" s="52"/>
      <c r="J9" s="52"/>
      <c r="K9" s="132"/>
      <c r="L9" s="114"/>
      <c r="M9" s="52"/>
      <c r="N9" s="52"/>
      <c r="O9" s="52"/>
      <c r="P9" s="52"/>
    </row>
    <row r="10" spans="1:17" x14ac:dyDescent="0.35">
      <c r="A10" s="12" t="s">
        <v>178</v>
      </c>
      <c r="F10" s="52">
        <v>6037</v>
      </c>
      <c r="G10" s="52">
        <v>6266</v>
      </c>
      <c r="H10" s="52">
        <v>7989</v>
      </c>
      <c r="I10" s="52">
        <v>7629</v>
      </c>
      <c r="J10" s="52">
        <v>10944</v>
      </c>
      <c r="K10" s="133"/>
      <c r="L10" s="114">
        <f>CFS!F38</f>
        <v>17402.377118443859</v>
      </c>
      <c r="M10" s="114">
        <f>CFS!G38</f>
        <v>18613.541186713901</v>
      </c>
      <c r="N10" s="114">
        <f>CFS!H38</f>
        <v>19238.04945573544</v>
      </c>
      <c r="O10" s="114">
        <f>CFS!I38</f>
        <v>24093.904834516354</v>
      </c>
      <c r="P10" s="114">
        <f>CFS!J38</f>
        <v>26165.68235479567</v>
      </c>
      <c r="Q10" s="115" t="s">
        <v>307</v>
      </c>
    </row>
    <row r="11" spans="1:17" x14ac:dyDescent="0.35">
      <c r="A11" s="12" t="s">
        <v>206</v>
      </c>
      <c r="F11" s="114">
        <v>2874</v>
      </c>
      <c r="G11" s="114">
        <v>4381</v>
      </c>
      <c r="H11" s="114">
        <v>48</v>
      </c>
      <c r="I11" s="114">
        <v>1676</v>
      </c>
      <c r="J11" s="114">
        <v>0</v>
      </c>
      <c r="K11" s="133"/>
      <c r="L11" s="114">
        <f>J11</f>
        <v>0</v>
      </c>
      <c r="M11" s="114">
        <f t="shared" ref="M11:P11" si="0">K11</f>
        <v>0</v>
      </c>
      <c r="N11" s="114">
        <f t="shared" si="0"/>
        <v>0</v>
      </c>
      <c r="O11" s="114">
        <f t="shared" si="0"/>
        <v>0</v>
      </c>
      <c r="P11" s="114">
        <f t="shared" si="0"/>
        <v>0</v>
      </c>
    </row>
    <row r="12" spans="1:17" x14ac:dyDescent="0.35">
      <c r="A12" s="12" t="s">
        <v>179</v>
      </c>
      <c r="F12" s="114">
        <v>4057</v>
      </c>
      <c r="G12" s="114">
        <v>4525</v>
      </c>
      <c r="H12" s="114">
        <v>4895</v>
      </c>
      <c r="I12" s="114">
        <v>5563</v>
      </c>
      <c r="J12" s="114">
        <v>7268</v>
      </c>
      <c r="K12" s="134">
        <f>K70</f>
        <v>98.581196581196579</v>
      </c>
      <c r="L12" s="114">
        <f>($K$12*IS!L8)/365</f>
        <v>8244.7818564585796</v>
      </c>
      <c r="M12" s="114">
        <f>($K$12*IS!M8)/365</f>
        <v>8636.8799640110119</v>
      </c>
      <c r="N12" s="114">
        <f>($K$12*IS!N8)/365</f>
        <v>9031.7664466654187</v>
      </c>
      <c r="O12" s="114">
        <f>($K$12*IS!O8)/365</f>
        <v>9326.179020116313</v>
      </c>
      <c r="P12" s="114">
        <f>($K$12*IS!P8)/365</f>
        <v>9663.6720557261342</v>
      </c>
    </row>
    <row r="13" spans="1:17" x14ac:dyDescent="0.35">
      <c r="A13" s="12" t="s">
        <v>180</v>
      </c>
      <c r="F13" s="114">
        <v>3584</v>
      </c>
      <c r="G13" s="114">
        <v>3893</v>
      </c>
      <c r="H13" s="114">
        <v>4086</v>
      </c>
      <c r="I13" s="114">
        <v>4930</v>
      </c>
      <c r="J13" s="114">
        <v>9518</v>
      </c>
      <c r="K13" s="134">
        <f>K72</f>
        <v>487.5991068003151</v>
      </c>
      <c r="L13" s="114">
        <f>($K$13*(IS!L19)/365)</f>
        <v>8157.4878730504688</v>
      </c>
      <c r="M13" s="114">
        <f>($K$13*(IS!M19)/365)</f>
        <v>8095.674817769921</v>
      </c>
      <c r="N13" s="114">
        <f>($K$13*(IS!N19)/365)</f>
        <v>7995.4937191678864</v>
      </c>
      <c r="O13" s="114">
        <f>($K$13*(IS!O19)/365)</f>
        <v>7770.4719455047689</v>
      </c>
      <c r="P13" s="114">
        <f>($K$13*(IS!P19)/365)</f>
        <v>7548.4382897066334</v>
      </c>
    </row>
    <row r="14" spans="1:17" x14ac:dyDescent="0.35">
      <c r="A14" s="12" t="s">
        <v>181</v>
      </c>
      <c r="F14" s="114">
        <v>1888</v>
      </c>
      <c r="G14" s="114">
        <v>2079</v>
      </c>
      <c r="H14" s="114">
        <v>2367</v>
      </c>
      <c r="I14" s="114">
        <v>2388</v>
      </c>
      <c r="J14" s="114">
        <v>2602</v>
      </c>
      <c r="K14" s="135">
        <f>K74</f>
        <v>9.2239120993804338E-2</v>
      </c>
      <c r="L14" s="114">
        <f>IS!L8*BS!$K$14</f>
        <v>2815.7435902965967</v>
      </c>
      <c r="M14" s="114">
        <f>IS!M8*BS!$K$14</f>
        <v>2949.6522554777539</v>
      </c>
      <c r="N14" s="114">
        <f>IS!N8*BS!$K$14</f>
        <v>3084.5132016843422</v>
      </c>
      <c r="O14" s="114">
        <f>IS!O8*BS!$K$14</f>
        <v>3185.0604727983359</v>
      </c>
      <c r="P14" s="114">
        <f>IS!P8*BS!$K$14</f>
        <v>3300.320508580081</v>
      </c>
    </row>
    <row r="15" spans="1:17" s="117" customFormat="1" x14ac:dyDescent="0.35">
      <c r="A15" s="117" t="s">
        <v>182</v>
      </c>
      <c r="F15" s="118">
        <f>SUM(F10:F14)</f>
        <v>18440</v>
      </c>
      <c r="G15" s="118">
        <f t="shared" ref="G15:L15" si="1">SUM(G10:G14)</f>
        <v>21144</v>
      </c>
      <c r="H15" s="118">
        <f t="shared" si="1"/>
        <v>19385</v>
      </c>
      <c r="I15" s="118">
        <f t="shared" si="1"/>
        <v>22186</v>
      </c>
      <c r="J15" s="118">
        <f t="shared" si="1"/>
        <v>30332</v>
      </c>
      <c r="K15" s="136"/>
      <c r="L15" s="118">
        <f t="shared" si="1"/>
        <v>36620.390438249502</v>
      </c>
      <c r="M15" s="118">
        <f>SUM(M10:M14)</f>
        <v>38295.748223972587</v>
      </c>
      <c r="N15" s="118">
        <f>SUM(N10:N14)</f>
        <v>39349.822823253082</v>
      </c>
      <c r="O15" s="118">
        <f>SUM(O10:O14)</f>
        <v>44375.616272935775</v>
      </c>
      <c r="P15" s="118">
        <f t="shared" ref="P15" si="2">SUM(P10:P14)</f>
        <v>46678.113208808514</v>
      </c>
    </row>
    <row r="16" spans="1:17" x14ac:dyDescent="0.35">
      <c r="F16" s="114"/>
      <c r="G16" s="114"/>
      <c r="H16" s="114"/>
      <c r="I16" s="114"/>
      <c r="J16" s="114"/>
      <c r="K16" s="133"/>
      <c r="L16" s="114"/>
      <c r="M16" s="114"/>
      <c r="N16" s="114"/>
      <c r="O16" s="114"/>
      <c r="P16" s="114"/>
    </row>
    <row r="17" spans="1:17" x14ac:dyDescent="0.35">
      <c r="A17" s="49" t="s">
        <v>191</v>
      </c>
      <c r="F17" s="114"/>
      <c r="G17" s="114"/>
      <c r="H17" s="114"/>
      <c r="I17" s="114"/>
      <c r="J17" s="114"/>
      <c r="K17" s="133"/>
      <c r="L17" s="114"/>
      <c r="M17" s="114"/>
      <c r="N17" s="114"/>
      <c r="O17" s="114"/>
      <c r="P17" s="114"/>
    </row>
    <row r="18" spans="1:17" x14ac:dyDescent="0.35">
      <c r="A18" s="12" t="s">
        <v>183</v>
      </c>
      <c r="F18" s="114">
        <v>4928</v>
      </c>
      <c r="G18" s="114">
        <v>4889</v>
      </c>
      <c r="H18" s="114">
        <v>5184</v>
      </c>
      <c r="I18" s="114">
        <v>5427</v>
      </c>
      <c r="J18" s="114">
        <v>5941</v>
      </c>
      <c r="K18" s="133"/>
      <c r="L18" s="114">
        <f>'FA Schedule'!L11</f>
        <v>6550.2588772171675</v>
      </c>
      <c r="M18" s="114">
        <f>'FA Schedule'!M11</f>
        <v>7221.9982088137194</v>
      </c>
      <c r="N18" s="114">
        <f>'FA Schedule'!N11</f>
        <v>7962.6254634789675</v>
      </c>
      <c r="O18" s="114">
        <f>'FA Schedule'!O11</f>
        <v>8779.2052058758745</v>
      </c>
      <c r="P18" s="114">
        <f>'FA Schedule'!P11</f>
        <v>9679.5264828647723</v>
      </c>
      <c r="Q18" s="115" t="s">
        <v>308</v>
      </c>
    </row>
    <row r="19" spans="1:17" x14ac:dyDescent="0.35">
      <c r="A19" s="12" t="s">
        <v>185</v>
      </c>
      <c r="F19" s="114">
        <v>19413</v>
      </c>
      <c r="G19" s="114">
        <v>16587</v>
      </c>
      <c r="H19" s="114">
        <v>15182</v>
      </c>
      <c r="I19" s="114">
        <v>16080</v>
      </c>
      <c r="J19" s="114">
        <v>32641</v>
      </c>
      <c r="K19" s="133"/>
      <c r="L19" s="114">
        <f>'FA Schedule'!L35</f>
        <v>31105.1</v>
      </c>
      <c r="M19" s="114">
        <f>'FA Schedule'!M35</f>
        <v>29715.61</v>
      </c>
      <c r="N19" s="114">
        <f>'FA Schedule'!N35</f>
        <v>28787.171000000002</v>
      </c>
      <c r="O19" s="114">
        <f>'FA Schedule'!O35</f>
        <v>27765.888100000004</v>
      </c>
      <c r="P19" s="114">
        <f>'FA Schedule'!P35</f>
        <v>27642.476910000005</v>
      </c>
      <c r="Q19" s="115" t="s">
        <v>308</v>
      </c>
    </row>
    <row r="20" spans="1:17" x14ac:dyDescent="0.35">
      <c r="A20" s="12" t="s">
        <v>184</v>
      </c>
      <c r="F20" s="114">
        <v>14703</v>
      </c>
      <c r="G20" s="114">
        <v>14689</v>
      </c>
      <c r="H20" s="114">
        <v>14890</v>
      </c>
      <c r="I20" s="114">
        <v>15529</v>
      </c>
      <c r="J20" s="114">
        <v>18629</v>
      </c>
      <c r="K20" s="133"/>
      <c r="L20" s="114">
        <f>J20</f>
        <v>18629</v>
      </c>
      <c r="M20" s="114">
        <f>L20</f>
        <v>18629</v>
      </c>
      <c r="N20" s="114">
        <f t="shared" ref="N20:P20" si="3">L20</f>
        <v>18629</v>
      </c>
      <c r="O20" s="114">
        <f t="shared" si="3"/>
        <v>18629</v>
      </c>
      <c r="P20" s="114">
        <f t="shared" si="3"/>
        <v>18629</v>
      </c>
    </row>
    <row r="21" spans="1:17" x14ac:dyDescent="0.35">
      <c r="A21" s="12" t="s">
        <v>404</v>
      </c>
      <c r="F21" s="114">
        <v>2223</v>
      </c>
      <c r="G21" s="114">
        <v>5639</v>
      </c>
      <c r="H21" s="114">
        <v>6524</v>
      </c>
      <c r="I21" s="114">
        <v>5899</v>
      </c>
      <c r="J21" s="114">
        <v>9611</v>
      </c>
      <c r="K21" s="133"/>
      <c r="L21" s="114">
        <f>J21</f>
        <v>9611</v>
      </c>
      <c r="M21" s="114">
        <f>L21</f>
        <v>9611</v>
      </c>
      <c r="N21" s="114">
        <f t="shared" ref="N21:P21" si="4">M21</f>
        <v>9611</v>
      </c>
      <c r="O21" s="114">
        <f t="shared" si="4"/>
        <v>9611</v>
      </c>
      <c r="P21" s="114">
        <f t="shared" si="4"/>
        <v>9611</v>
      </c>
    </row>
    <row r="22" spans="1:17" s="117" customFormat="1" x14ac:dyDescent="0.35">
      <c r="A22" s="117" t="s">
        <v>310</v>
      </c>
      <c r="F22" s="118">
        <f>SUM(F18:F21)</f>
        <v>41267</v>
      </c>
      <c r="G22" s="118">
        <f t="shared" ref="G22:J22" si="5">SUM(G18:G21)</f>
        <v>41804</v>
      </c>
      <c r="H22" s="118">
        <f t="shared" si="5"/>
        <v>41780</v>
      </c>
      <c r="I22" s="118">
        <f t="shared" si="5"/>
        <v>42935</v>
      </c>
      <c r="J22" s="118">
        <f t="shared" si="5"/>
        <v>66822</v>
      </c>
      <c r="K22" s="136"/>
      <c r="L22" s="118">
        <f>SUM(L18:L21)</f>
        <v>65895.358877217164</v>
      </c>
      <c r="M22" s="118">
        <f>SUM(M18:M21)</f>
        <v>65177.608208813719</v>
      </c>
      <c r="N22" s="118">
        <f t="shared" ref="N22:P22" si="6">SUM(N18:N21)</f>
        <v>64989.796463478968</v>
      </c>
      <c r="O22" s="118">
        <f t="shared" si="6"/>
        <v>64785.093305875882</v>
      </c>
      <c r="P22" s="118">
        <f t="shared" si="6"/>
        <v>65562.003392864775</v>
      </c>
    </row>
    <row r="23" spans="1:17" x14ac:dyDescent="0.35">
      <c r="F23" s="114"/>
      <c r="G23" s="114"/>
      <c r="H23" s="114"/>
      <c r="I23" s="114"/>
      <c r="J23" s="114"/>
      <c r="K23" s="133"/>
      <c r="L23" s="465"/>
      <c r="M23" s="114"/>
      <c r="N23" s="114"/>
      <c r="O23" s="114"/>
      <c r="P23" s="114"/>
    </row>
    <row r="24" spans="1:17" s="48" customFormat="1" x14ac:dyDescent="0.35">
      <c r="A24" s="119" t="s">
        <v>186</v>
      </c>
      <c r="B24" s="119"/>
      <c r="C24" s="119"/>
      <c r="D24" s="119"/>
      <c r="E24" s="119"/>
      <c r="F24" s="120">
        <f>F22+F15</f>
        <v>59707</v>
      </c>
      <c r="G24" s="120">
        <f t="shared" ref="G24:J24" si="7">G22+G15</f>
        <v>62948</v>
      </c>
      <c r="H24" s="120">
        <f t="shared" si="7"/>
        <v>61165</v>
      </c>
      <c r="I24" s="120">
        <f t="shared" si="7"/>
        <v>65121</v>
      </c>
      <c r="J24" s="120">
        <f t="shared" si="7"/>
        <v>97154</v>
      </c>
      <c r="K24" s="137"/>
      <c r="L24" s="120">
        <f t="shared" ref="L24" si="8">L22+L15</f>
        <v>102515.74931546667</v>
      </c>
      <c r="M24" s="120">
        <f t="shared" ref="M24:P24" si="9">M22+M15</f>
        <v>103473.3564327863</v>
      </c>
      <c r="N24" s="120">
        <f t="shared" si="9"/>
        <v>104339.61928673205</v>
      </c>
      <c r="O24" s="120">
        <f>O22+O15</f>
        <v>109160.70957881166</v>
      </c>
      <c r="P24" s="120">
        <f t="shared" si="9"/>
        <v>112240.11660167329</v>
      </c>
    </row>
    <row r="25" spans="1:17" x14ac:dyDescent="0.35">
      <c r="F25" s="114"/>
      <c r="G25" s="114"/>
      <c r="H25" s="114"/>
      <c r="I25" s="114"/>
      <c r="J25" s="114"/>
      <c r="K25" s="133"/>
      <c r="L25" s="114"/>
      <c r="M25" s="114"/>
      <c r="N25" s="114"/>
      <c r="O25" s="114"/>
      <c r="P25" s="114"/>
    </row>
    <row r="26" spans="1:17" x14ac:dyDescent="0.35">
      <c r="A26" s="48" t="s">
        <v>199</v>
      </c>
      <c r="F26" s="114"/>
      <c r="G26" s="114"/>
      <c r="H26" s="114"/>
      <c r="I26" s="114"/>
      <c r="J26" s="114"/>
      <c r="K26" s="133"/>
      <c r="L26" s="114"/>
      <c r="M26" s="114"/>
      <c r="N26" s="114"/>
      <c r="O26" s="114"/>
      <c r="P26" s="114"/>
    </row>
    <row r="27" spans="1:17" x14ac:dyDescent="0.35">
      <c r="A27" s="49" t="s">
        <v>187</v>
      </c>
      <c r="F27" s="114"/>
      <c r="G27" s="114"/>
      <c r="H27" s="114"/>
      <c r="I27" s="114"/>
      <c r="J27" s="114"/>
      <c r="K27" s="133"/>
      <c r="L27" s="114"/>
      <c r="M27" s="114"/>
      <c r="N27" s="114"/>
      <c r="O27" s="114"/>
      <c r="P27" s="114"/>
    </row>
    <row r="28" spans="1:17" x14ac:dyDescent="0.35">
      <c r="A28" s="12" t="s">
        <v>207</v>
      </c>
      <c r="F28" s="114">
        <v>1371</v>
      </c>
      <c r="G28" s="114">
        <v>1421</v>
      </c>
      <c r="H28" s="114">
        <v>1366</v>
      </c>
      <c r="I28" s="114">
        <v>1572</v>
      </c>
      <c r="J28" s="114">
        <v>1590</v>
      </c>
      <c r="K28" s="134">
        <f>K78</f>
        <v>142.90139499355374</v>
      </c>
      <c r="L28" s="114">
        <f>($K$28*IS!L19)/365</f>
        <v>2390.7270961825238</v>
      </c>
      <c r="M28" s="114">
        <f>($K$28*IS!M19)/365</f>
        <v>2372.6114521930008</v>
      </c>
      <c r="N28" s="114">
        <f>($K$28*IS!N19)/365</f>
        <v>2343.2512287172831</v>
      </c>
      <c r="O28" s="114">
        <f>($K$28*IS!O19)/365</f>
        <v>2277.3037630391887</v>
      </c>
      <c r="P28" s="114">
        <f>($K$28*IS!P19)/365</f>
        <v>2212.2320295053005</v>
      </c>
    </row>
    <row r="29" spans="1:17" x14ac:dyDescent="0.35">
      <c r="A29" s="12" t="s">
        <v>278</v>
      </c>
      <c r="F29" s="114">
        <v>8511</v>
      </c>
      <c r="G29" s="114">
        <v>10141</v>
      </c>
      <c r="H29" s="114">
        <v>10731</v>
      </c>
      <c r="I29" s="114">
        <v>12524</v>
      </c>
      <c r="J29" s="114">
        <v>15359</v>
      </c>
      <c r="K29" s="133"/>
      <c r="L29" s="114">
        <f>J29</f>
        <v>15359</v>
      </c>
      <c r="M29" s="114">
        <f>L29</f>
        <v>15359</v>
      </c>
      <c r="N29" s="114">
        <f t="shared" ref="N29:P29" si="10">M29</f>
        <v>15359</v>
      </c>
      <c r="O29" s="114">
        <f t="shared" si="10"/>
        <v>15359</v>
      </c>
      <c r="P29" s="114">
        <f t="shared" si="10"/>
        <v>15359</v>
      </c>
    </row>
    <row r="30" spans="1:17" x14ac:dyDescent="0.35">
      <c r="A30" s="12" t="s">
        <v>188</v>
      </c>
      <c r="F30" s="114">
        <v>2953</v>
      </c>
      <c r="G30" s="114">
        <v>91</v>
      </c>
      <c r="H30" s="114">
        <v>87</v>
      </c>
      <c r="I30" s="114">
        <v>1591</v>
      </c>
      <c r="J30" s="114">
        <v>1443</v>
      </c>
      <c r="K30" s="133"/>
      <c r="L30" s="114">
        <f>'Debt Schedule'!F15</f>
        <v>5500</v>
      </c>
      <c r="M30" s="114">
        <f>'Debt Schedule'!G15</f>
        <v>6183</v>
      </c>
      <c r="N30" s="114">
        <f>'Debt Schedule'!H15</f>
        <v>2724</v>
      </c>
      <c r="O30" s="114">
        <f>'Debt Schedule'!I15</f>
        <v>4984</v>
      </c>
      <c r="P30" s="114">
        <f>'Debt Schedule'!J15</f>
        <v>3824.7529193583391</v>
      </c>
      <c r="Q30" s="115" t="s">
        <v>309</v>
      </c>
    </row>
    <row r="31" spans="1:17" s="117" customFormat="1" x14ac:dyDescent="0.35">
      <c r="A31" s="117" t="s">
        <v>189</v>
      </c>
      <c r="F31" s="118">
        <f>SUM(F28:F30)</f>
        <v>12835</v>
      </c>
      <c r="G31" s="118">
        <f t="shared" ref="G31:J31" si="11">SUM(G28:G30)</f>
        <v>11653</v>
      </c>
      <c r="H31" s="118">
        <f t="shared" si="11"/>
        <v>12184</v>
      </c>
      <c r="I31" s="118">
        <f t="shared" si="11"/>
        <v>15687</v>
      </c>
      <c r="J31" s="118">
        <f t="shared" si="11"/>
        <v>18392</v>
      </c>
      <c r="K31" s="136"/>
      <c r="L31" s="118">
        <f>SUM(L28:L30)</f>
        <v>23249.727096182523</v>
      </c>
      <c r="M31" s="118">
        <f>SUM(M28:M30)</f>
        <v>23914.611452192999</v>
      </c>
      <c r="N31" s="118">
        <f t="shared" ref="N31:P31" si="12">SUM(N28:N30)</f>
        <v>20426.251228717283</v>
      </c>
      <c r="O31" s="118">
        <f>SUM(O28:O30)</f>
        <v>22620.303763039188</v>
      </c>
      <c r="P31" s="118">
        <f t="shared" si="12"/>
        <v>21395.984948863639</v>
      </c>
    </row>
    <row r="32" spans="1:17" x14ac:dyDescent="0.35">
      <c r="F32" s="114"/>
      <c r="G32" s="114"/>
      <c r="H32" s="114"/>
      <c r="I32" s="114"/>
      <c r="J32" s="114"/>
      <c r="K32" s="133"/>
      <c r="L32" s="114"/>
      <c r="M32" s="114"/>
      <c r="N32" s="114"/>
      <c r="O32" s="114"/>
      <c r="P32" s="114"/>
    </row>
    <row r="33" spans="1:17" x14ac:dyDescent="0.35">
      <c r="A33" s="49" t="s">
        <v>190</v>
      </c>
      <c r="F33" s="114"/>
      <c r="G33" s="114"/>
      <c r="H33" s="114"/>
      <c r="I33" s="114"/>
      <c r="J33" s="114"/>
      <c r="K33" s="133"/>
      <c r="L33" s="114"/>
      <c r="M33" s="114"/>
      <c r="N33" s="114"/>
      <c r="O33" s="114"/>
      <c r="P33" s="114"/>
    </row>
    <row r="34" spans="1:17" x14ac:dyDescent="0.35">
      <c r="A34" s="12" t="s">
        <v>193</v>
      </c>
      <c r="F34" s="114">
        <v>26950</v>
      </c>
      <c r="G34" s="114">
        <v>32895</v>
      </c>
      <c r="H34" s="114">
        <v>33222</v>
      </c>
      <c r="I34" s="114">
        <v>37354</v>
      </c>
      <c r="J34" s="114">
        <v>63170</v>
      </c>
      <c r="K34" s="133"/>
      <c r="L34" s="114">
        <f>'Debt Schedule'!F16</f>
        <v>57710</v>
      </c>
      <c r="M34" s="114">
        <f>'Debt Schedule'!G16</f>
        <v>51527</v>
      </c>
      <c r="N34" s="114">
        <f>'Debt Schedule'!H16</f>
        <v>48803</v>
      </c>
      <c r="O34" s="114">
        <f>'Debt Schedule'!I16</f>
        <v>43819</v>
      </c>
      <c r="P34" s="114">
        <f>'Debt Schedule'!J16</f>
        <v>39994.24708064166</v>
      </c>
    </row>
    <row r="35" spans="1:17" x14ac:dyDescent="0.35">
      <c r="A35" s="12" t="s">
        <v>201</v>
      </c>
      <c r="F35" s="114">
        <f>606</f>
        <v>606</v>
      </c>
      <c r="G35" s="114">
        <v>0</v>
      </c>
      <c r="H35" s="114">
        <v>0</v>
      </c>
      <c r="I35" s="114">
        <v>0</v>
      </c>
      <c r="J35" s="114">
        <v>2354</v>
      </c>
      <c r="K35" s="133"/>
      <c r="L35" s="114">
        <f>J35</f>
        <v>2354</v>
      </c>
      <c r="M35" s="114">
        <f>L35</f>
        <v>2354</v>
      </c>
      <c r="N35" s="114">
        <f t="shared" ref="N35:P35" si="13">M35</f>
        <v>2354</v>
      </c>
      <c r="O35" s="114">
        <f t="shared" si="13"/>
        <v>2354</v>
      </c>
      <c r="P35" s="114">
        <f t="shared" si="13"/>
        <v>2354</v>
      </c>
    </row>
    <row r="36" spans="1:17" x14ac:dyDescent="0.35">
      <c r="A36" s="12" t="s">
        <v>194</v>
      </c>
      <c r="F36" s="114">
        <v>8037</v>
      </c>
      <c r="G36" s="114">
        <v>6968</v>
      </c>
      <c r="H36" s="114">
        <v>6594</v>
      </c>
      <c r="I36" s="114">
        <v>5757</v>
      </c>
      <c r="J36" s="114">
        <v>4680</v>
      </c>
      <c r="K36" s="138"/>
      <c r="L36" s="114">
        <f>J36</f>
        <v>4680</v>
      </c>
      <c r="M36" s="114">
        <f>L36</f>
        <v>4680</v>
      </c>
      <c r="N36" s="114">
        <f t="shared" ref="N36:P36" si="14">M36</f>
        <v>4680</v>
      </c>
      <c r="O36" s="114">
        <f t="shared" si="14"/>
        <v>4680</v>
      </c>
      <c r="P36" s="114">
        <f t="shared" si="14"/>
        <v>4680</v>
      </c>
      <c r="Q36" s="77"/>
    </row>
    <row r="37" spans="1:17" x14ac:dyDescent="0.35">
      <c r="A37" s="12" t="s">
        <v>195</v>
      </c>
      <c r="F37" s="114">
        <v>1606</v>
      </c>
      <c r="G37" s="114">
        <v>2023</v>
      </c>
      <c r="H37" s="114">
        <v>2465</v>
      </c>
      <c r="I37" s="114">
        <v>2662</v>
      </c>
      <c r="J37" s="114">
        <v>2326</v>
      </c>
      <c r="K37" s="133"/>
      <c r="L37" s="114">
        <f>J37</f>
        <v>2326</v>
      </c>
      <c r="M37" s="114">
        <f>L37</f>
        <v>2326</v>
      </c>
      <c r="N37" s="114">
        <f t="shared" ref="N37:P37" si="15">M37</f>
        <v>2326</v>
      </c>
      <c r="O37" s="114">
        <f t="shared" si="15"/>
        <v>2326</v>
      </c>
      <c r="P37" s="114">
        <f t="shared" si="15"/>
        <v>2326</v>
      </c>
    </row>
    <row r="38" spans="1:17" s="117" customFormat="1" x14ac:dyDescent="0.35">
      <c r="A38" s="117" t="s">
        <v>196</v>
      </c>
      <c r="F38" s="118">
        <f>SUM(F34:F37)</f>
        <v>37199</v>
      </c>
      <c r="G38" s="118">
        <f t="shared" ref="G38:J38" si="16">SUM(G34:G37)</f>
        <v>41886</v>
      </c>
      <c r="H38" s="118">
        <f>SUM(H34:H37)</f>
        <v>42281</v>
      </c>
      <c r="I38" s="118">
        <f t="shared" si="16"/>
        <v>45773</v>
      </c>
      <c r="J38" s="118">
        <f t="shared" si="16"/>
        <v>72530</v>
      </c>
      <c r="K38" s="136"/>
      <c r="L38" s="118">
        <f>SUM(L34:L37)</f>
        <v>67070</v>
      </c>
      <c r="M38" s="118">
        <f>SUM(M34:M37)</f>
        <v>60887</v>
      </c>
      <c r="N38" s="118">
        <f t="shared" ref="N38:O38" si="17">SUM(N34:N37)</f>
        <v>58163</v>
      </c>
      <c r="O38" s="118">
        <f t="shared" si="17"/>
        <v>53179</v>
      </c>
      <c r="P38" s="118">
        <f>SUM(P34:P37)</f>
        <v>49354.24708064166</v>
      </c>
    </row>
    <row r="39" spans="1:17" s="117" customFormat="1" x14ac:dyDescent="0.35">
      <c r="F39" s="118"/>
      <c r="G39" s="118"/>
      <c r="H39" s="118"/>
      <c r="I39" s="118"/>
      <c r="J39" s="118"/>
      <c r="K39" s="136"/>
      <c r="L39" s="118"/>
      <c r="M39" s="118"/>
      <c r="N39" s="118"/>
      <c r="O39" s="118"/>
      <c r="P39" s="118"/>
    </row>
    <row r="40" spans="1:17" s="117" customFormat="1" x14ac:dyDescent="0.35">
      <c r="A40" s="117" t="s">
        <v>286</v>
      </c>
      <c r="F40" s="118">
        <f>F38+F31</f>
        <v>50034</v>
      </c>
      <c r="G40" s="118">
        <f>G38+G31</f>
        <v>53539</v>
      </c>
      <c r="H40" s="118">
        <f t="shared" ref="H40:O40" si="18">H38+H31</f>
        <v>54465</v>
      </c>
      <c r="I40" s="118">
        <f t="shared" si="18"/>
        <v>61460</v>
      </c>
      <c r="J40" s="118">
        <f t="shared" si="18"/>
        <v>90922</v>
      </c>
      <c r="K40" s="136"/>
      <c r="L40" s="118">
        <f>L38+L31</f>
        <v>90319.727096182527</v>
      </c>
      <c r="M40" s="118">
        <f>M38+M31</f>
        <v>84801.611452192999</v>
      </c>
      <c r="N40" s="118">
        <f t="shared" si="18"/>
        <v>78589.251228717287</v>
      </c>
      <c r="O40" s="118">
        <f t="shared" si="18"/>
        <v>75799.303763039192</v>
      </c>
      <c r="P40" s="118">
        <f>P38+P31</f>
        <v>70750.232029505307</v>
      </c>
    </row>
    <row r="41" spans="1:17" x14ac:dyDescent="0.35">
      <c r="F41" s="114"/>
      <c r="G41" s="114"/>
      <c r="H41" s="114"/>
      <c r="I41" s="114"/>
      <c r="J41" s="114"/>
      <c r="K41" s="133"/>
      <c r="L41" s="114"/>
      <c r="M41" s="114"/>
      <c r="N41" s="114"/>
      <c r="O41" s="114"/>
      <c r="P41" s="114"/>
    </row>
    <row r="42" spans="1:17" x14ac:dyDescent="0.35">
      <c r="A42" s="49" t="s">
        <v>202</v>
      </c>
      <c r="F42" s="114"/>
      <c r="G42" s="114"/>
      <c r="H42" s="114"/>
      <c r="I42" s="114"/>
      <c r="J42" s="114"/>
      <c r="K42" s="133"/>
      <c r="L42" s="114"/>
      <c r="M42" s="114"/>
      <c r="N42" s="114"/>
      <c r="O42" s="114"/>
      <c r="P42" s="114"/>
    </row>
    <row r="43" spans="1:17" s="122" customFormat="1" ht="32.5" customHeight="1" x14ac:dyDescent="0.35">
      <c r="A43" s="507" t="s">
        <v>203</v>
      </c>
      <c r="B43" s="507"/>
      <c r="C43" s="507"/>
      <c r="D43" s="507"/>
      <c r="E43" s="507"/>
      <c r="F43" s="121">
        <v>31531</v>
      </c>
      <c r="G43" s="121">
        <v>31802</v>
      </c>
      <c r="H43" s="121">
        <v>32096</v>
      </c>
      <c r="I43" s="121">
        <v>32514</v>
      </c>
      <c r="J43" s="121">
        <v>33070</v>
      </c>
      <c r="K43" s="139"/>
      <c r="L43" s="121">
        <f>J43+CFS!F11</f>
        <v>33563.503751037759</v>
      </c>
      <c r="M43" s="121">
        <f>L43+CFS!G11</f>
        <v>34082.716484990939</v>
      </c>
      <c r="N43" s="121">
        <f>M43+CFS!H11</f>
        <v>34628.219576066294</v>
      </c>
      <c r="O43" s="121">
        <f>N43+CFS!I11</f>
        <v>35194.967394962863</v>
      </c>
      <c r="P43" s="121">
        <f>O43+CFS!J11</f>
        <v>35785.846399842929</v>
      </c>
    </row>
    <row r="44" spans="1:17" x14ac:dyDescent="0.35">
      <c r="A44" s="12" t="s">
        <v>204</v>
      </c>
      <c r="F44" s="114">
        <v>-21330</v>
      </c>
      <c r="G44" s="114">
        <v>-21408</v>
      </c>
      <c r="H44" s="114">
        <v>-24600</v>
      </c>
      <c r="I44" s="114">
        <v>-28622</v>
      </c>
      <c r="J44" s="114">
        <v>-26549</v>
      </c>
      <c r="K44" s="133"/>
      <c r="L44" s="114">
        <f>J44+IS!L76+CFS!F27</f>
        <v>-21078.481531753612</v>
      </c>
      <c r="M44" s="114">
        <f>L44+IS!M76+CFS!G27</f>
        <v>-15121.971504397636</v>
      </c>
      <c r="N44" s="114">
        <f>M44+IS!N76+CFS!H27</f>
        <v>-8588.851518051526</v>
      </c>
      <c r="O44" s="114">
        <f>N44+IS!O76+CFS!I27</f>
        <v>-1544.5615791904011</v>
      </c>
      <c r="P44" s="114">
        <f>O44+IS!P76+CFS!J27</f>
        <v>5993.0381723250721</v>
      </c>
    </row>
    <row r="45" spans="1:17" x14ac:dyDescent="0.35">
      <c r="A45" s="12" t="s">
        <v>205</v>
      </c>
      <c r="F45" s="114">
        <v>-528</v>
      </c>
      <c r="G45" s="114">
        <v>-985</v>
      </c>
      <c r="H45" s="114">
        <v>-796</v>
      </c>
      <c r="I45" s="114">
        <v>-231</v>
      </c>
      <c r="J45" s="114">
        <v>-289</v>
      </c>
      <c r="K45" s="133"/>
      <c r="L45" s="114">
        <f>J45</f>
        <v>-289</v>
      </c>
      <c r="M45" s="114">
        <f>L45</f>
        <v>-289</v>
      </c>
      <c r="N45" s="114">
        <f t="shared" ref="N45:P45" si="19">M45</f>
        <v>-289</v>
      </c>
      <c r="O45" s="114">
        <f t="shared" si="19"/>
        <v>-289</v>
      </c>
      <c r="P45" s="114">
        <f t="shared" si="19"/>
        <v>-289</v>
      </c>
    </row>
    <row r="46" spans="1:17" s="117" customFormat="1" x14ac:dyDescent="0.35">
      <c r="A46" s="117" t="s">
        <v>197</v>
      </c>
      <c r="F46" s="118">
        <f>SUM(F43:F45)</f>
        <v>9673</v>
      </c>
      <c r="G46" s="118">
        <f>SUM(G43:G45)</f>
        <v>9409</v>
      </c>
      <c r="H46" s="118">
        <f t="shared" ref="H46:J46" si="20">SUM(H43:H45)</f>
        <v>6700</v>
      </c>
      <c r="I46" s="118">
        <f t="shared" si="20"/>
        <v>3661</v>
      </c>
      <c r="J46" s="118">
        <f t="shared" si="20"/>
        <v>6232</v>
      </c>
      <c r="K46" s="136"/>
      <c r="L46" s="118">
        <f>SUM(L43:L45)</f>
        <v>12196.022219284147</v>
      </c>
      <c r="M46" s="118">
        <f t="shared" ref="M46:N46" si="21">SUM(M43:M45)</f>
        <v>18671.744980593303</v>
      </c>
      <c r="N46" s="118">
        <f t="shared" si="21"/>
        <v>25750.36805801477</v>
      </c>
      <c r="O46" s="118">
        <f>SUM(O43:O45)</f>
        <v>33361.405815772465</v>
      </c>
      <c r="P46" s="118">
        <f>SUM(P43:P45)</f>
        <v>41489.884572167997</v>
      </c>
    </row>
    <row r="47" spans="1:17" x14ac:dyDescent="0.35">
      <c r="F47" s="114"/>
      <c r="G47" s="114"/>
      <c r="H47" s="114"/>
      <c r="I47" s="114"/>
      <c r="J47" s="114"/>
      <c r="K47" s="133"/>
      <c r="L47" s="114"/>
      <c r="M47" s="114"/>
      <c r="N47" s="114"/>
      <c r="O47" s="114"/>
      <c r="P47" s="114"/>
    </row>
    <row r="48" spans="1:17" s="48" customFormat="1" x14ac:dyDescent="0.35">
      <c r="A48" s="119" t="s">
        <v>198</v>
      </c>
      <c r="B48" s="119"/>
      <c r="C48" s="119"/>
      <c r="D48" s="119"/>
      <c r="E48" s="119"/>
      <c r="F48" s="120">
        <f>F31+F38+F46</f>
        <v>59707</v>
      </c>
      <c r="G48" s="120">
        <f>G46+G40</f>
        <v>62948</v>
      </c>
      <c r="H48" s="120">
        <f t="shared" ref="H48:M48" si="22">H46+H40</f>
        <v>61165</v>
      </c>
      <c r="I48" s="120">
        <f t="shared" si="22"/>
        <v>65121</v>
      </c>
      <c r="J48" s="120">
        <f t="shared" si="22"/>
        <v>97154</v>
      </c>
      <c r="K48" s="137"/>
      <c r="L48" s="120">
        <f t="shared" si="22"/>
        <v>102515.74931546667</v>
      </c>
      <c r="M48" s="120">
        <f t="shared" si="22"/>
        <v>103473.3564327863</v>
      </c>
      <c r="N48" s="120">
        <f t="shared" ref="N48:P48" si="23">N46+N40</f>
        <v>104339.61928673205</v>
      </c>
      <c r="O48" s="120">
        <f>O46+O40</f>
        <v>109160.70957881166</v>
      </c>
      <c r="P48" s="120">
        <f t="shared" si="23"/>
        <v>112240.1166016733</v>
      </c>
    </row>
    <row r="49" spans="1:16" x14ac:dyDescent="0.35">
      <c r="F49" s="123"/>
      <c r="G49" s="123"/>
      <c r="H49" s="123"/>
      <c r="I49" s="123"/>
      <c r="J49" s="123"/>
      <c r="K49" s="140"/>
      <c r="L49" s="123"/>
      <c r="M49" s="123"/>
      <c r="N49" s="123"/>
      <c r="O49" s="123"/>
      <c r="P49" s="123"/>
    </row>
    <row r="50" spans="1:16" x14ac:dyDescent="0.35">
      <c r="F50" s="123"/>
      <c r="G50" s="123"/>
      <c r="H50" s="123"/>
      <c r="I50" s="123"/>
      <c r="J50" s="123"/>
      <c r="K50" s="140"/>
      <c r="L50" s="123"/>
      <c r="M50" s="123"/>
      <c r="N50" s="123"/>
      <c r="O50" s="123"/>
      <c r="P50" s="123"/>
    </row>
    <row r="51" spans="1:16" x14ac:dyDescent="0.35">
      <c r="K51" s="130"/>
    </row>
    <row r="52" spans="1:16" x14ac:dyDescent="0.35">
      <c r="K52" s="130"/>
    </row>
    <row r="53" spans="1:16" x14ac:dyDescent="0.35">
      <c r="K53" s="130"/>
    </row>
    <row r="54" spans="1:16" s="124" customFormat="1" x14ac:dyDescent="0.35">
      <c r="A54" s="124" t="s">
        <v>200</v>
      </c>
      <c r="F54" s="125">
        <f>F24-F48</f>
        <v>0</v>
      </c>
      <c r="G54" s="125">
        <f>G24-G48</f>
        <v>0</v>
      </c>
      <c r="H54" s="125">
        <f>H24-H48</f>
        <v>0</v>
      </c>
      <c r="I54" s="125">
        <f>I24-I48</f>
        <v>0</v>
      </c>
      <c r="J54" s="125">
        <f>J24-J48</f>
        <v>0</v>
      </c>
      <c r="K54" s="141"/>
      <c r="L54" s="125">
        <f>L24-L48</f>
        <v>0</v>
      </c>
      <c r="M54" s="125">
        <f>M24-M48</f>
        <v>0</v>
      </c>
      <c r="N54" s="125">
        <f>N24-N48</f>
        <v>0</v>
      </c>
      <c r="O54" s="125">
        <f>O24-O48</f>
        <v>0</v>
      </c>
      <c r="P54" s="125">
        <f>P24-P48</f>
        <v>0</v>
      </c>
    </row>
    <row r="55" spans="1:16" x14ac:dyDescent="0.35">
      <c r="K55" s="130"/>
      <c r="M55" s="346"/>
      <c r="N55" s="346"/>
      <c r="O55" s="346"/>
      <c r="P55" s="346"/>
    </row>
    <row r="56" spans="1:16" x14ac:dyDescent="0.35">
      <c r="F56" s="59"/>
      <c r="G56" s="59"/>
      <c r="H56" s="59"/>
      <c r="I56" s="59"/>
      <c r="J56" s="59"/>
      <c r="K56" s="216"/>
      <c r="L56" s="59"/>
      <c r="M56" s="59"/>
      <c r="N56" s="59"/>
      <c r="O56" s="59"/>
      <c r="P56" s="59"/>
    </row>
    <row r="57" spans="1:16" ht="17" x14ac:dyDescent="0.4">
      <c r="A57" s="446" t="s">
        <v>408</v>
      </c>
      <c r="B57" s="441"/>
      <c r="C57" s="441"/>
      <c r="D57" s="441"/>
      <c r="E57" s="441"/>
      <c r="F57" s="441"/>
      <c r="G57" s="441"/>
      <c r="H57" s="441"/>
      <c r="I57" s="441"/>
      <c r="J57" s="441"/>
      <c r="K57" s="441"/>
      <c r="L57" s="441"/>
      <c r="M57" s="441"/>
      <c r="N57" s="441"/>
      <c r="O57" s="441"/>
      <c r="P57" s="441"/>
    </row>
    <row r="58" spans="1:16" x14ac:dyDescent="0.35">
      <c r="A58" s="432" t="s">
        <v>410</v>
      </c>
      <c r="B58" s="432"/>
      <c r="C58" s="432"/>
      <c r="D58" s="432"/>
      <c r="E58" s="432"/>
      <c r="F58" s="447">
        <f>F15/F31</f>
        <v>1.436696532917803</v>
      </c>
      <c r="G58" s="447">
        <f t="shared" ref="G58:J58" si="24">G15/G31</f>
        <v>1.8144683772419119</v>
      </c>
      <c r="H58" s="447">
        <f t="shared" si="24"/>
        <v>1.5910210111621799</v>
      </c>
      <c r="I58" s="447">
        <f t="shared" si="24"/>
        <v>1.4142920889908841</v>
      </c>
      <c r="J58" s="447">
        <f t="shared" si="24"/>
        <v>1.6491953023053501</v>
      </c>
      <c r="K58" s="447"/>
      <c r="L58" s="447">
        <f>L15/L31</f>
        <v>1.5750890445618335</v>
      </c>
      <c r="M58" s="447">
        <f t="shared" ref="M58:P58" si="25">M15/M31</f>
        <v>1.6013535616302401</v>
      </c>
      <c r="N58" s="447">
        <f t="shared" si="25"/>
        <v>1.9264339003101623</v>
      </c>
      <c r="O58" s="447">
        <f t="shared" si="25"/>
        <v>1.9617604050677706</v>
      </c>
      <c r="P58" s="447">
        <f t="shared" si="25"/>
        <v>2.1816295590209616</v>
      </c>
    </row>
    <row r="59" spans="1:16" x14ac:dyDescent="0.35">
      <c r="A59" s="432" t="s">
        <v>409</v>
      </c>
      <c r="B59" s="432"/>
      <c r="C59" s="432"/>
      <c r="D59" s="432"/>
      <c r="E59" s="432"/>
      <c r="F59" s="447">
        <f>(F15-F13)/F31</f>
        <v>1.1574600701207636</v>
      </c>
      <c r="G59" s="447">
        <f t="shared" ref="G59:J59" si="26">(G15-G13)/G31</f>
        <v>1.4803913155410624</v>
      </c>
      <c r="H59" s="447">
        <f t="shared" si="26"/>
        <v>1.2556631648063032</v>
      </c>
      <c r="I59" s="447">
        <f t="shared" si="26"/>
        <v>1.1000191241155097</v>
      </c>
      <c r="J59" s="447">
        <f t="shared" si="26"/>
        <v>1.1316876903001305</v>
      </c>
      <c r="K59" s="447"/>
      <c r="L59" s="447">
        <f>(L15-L13)/L31</f>
        <v>1.2242252327285374</v>
      </c>
      <c r="M59" s="447">
        <f t="shared" ref="M59:P59" si="27">(M15-M13)/M31</f>
        <v>1.262829357130671</v>
      </c>
      <c r="N59" s="447">
        <f t="shared" si="27"/>
        <v>1.5350016384800025</v>
      </c>
      <c r="O59" s="447">
        <f t="shared" si="27"/>
        <v>1.6182428278104106</v>
      </c>
      <c r="P59" s="447">
        <f t="shared" si="27"/>
        <v>1.8288326063334652</v>
      </c>
    </row>
    <row r="60" spans="1:16" x14ac:dyDescent="0.35">
      <c r="A60" s="432" t="s">
        <v>209</v>
      </c>
      <c r="B60" s="432"/>
      <c r="C60" s="432"/>
      <c r="D60" s="432"/>
      <c r="E60" s="432"/>
      <c r="F60" s="448">
        <f>F15-F31</f>
        <v>5605</v>
      </c>
      <c r="G60" s="448">
        <f t="shared" ref="G60:J60" si="28">G15-G31</f>
        <v>9491</v>
      </c>
      <c r="H60" s="448">
        <f t="shared" si="28"/>
        <v>7201</v>
      </c>
      <c r="I60" s="448">
        <f t="shared" si="28"/>
        <v>6499</v>
      </c>
      <c r="J60" s="448">
        <f t="shared" si="28"/>
        <v>11940</v>
      </c>
      <c r="K60" s="433"/>
      <c r="L60" s="448">
        <f>L15-L31</f>
        <v>13370.663342066979</v>
      </c>
      <c r="M60" s="448">
        <f t="shared" ref="M60:P60" si="29">M15-M31</f>
        <v>14381.136771779587</v>
      </c>
      <c r="N60" s="448">
        <f t="shared" si="29"/>
        <v>18923.571594535799</v>
      </c>
      <c r="O60" s="448">
        <f t="shared" si="29"/>
        <v>21755.312509896587</v>
      </c>
      <c r="P60" s="448">
        <f t="shared" si="29"/>
        <v>25282.128259944875</v>
      </c>
    </row>
    <row r="61" spans="1:16" x14ac:dyDescent="0.35">
      <c r="A61" s="432" t="s">
        <v>412</v>
      </c>
      <c r="B61" s="432"/>
      <c r="C61" s="432"/>
      <c r="D61" s="432"/>
      <c r="E61" s="432"/>
      <c r="F61" s="448"/>
      <c r="G61" s="448">
        <f>G60-F60</f>
        <v>3886</v>
      </c>
      <c r="H61" s="448">
        <f t="shared" ref="H61:J61" si="30">H60-G60</f>
        <v>-2290</v>
      </c>
      <c r="I61" s="448">
        <f t="shared" si="30"/>
        <v>-702</v>
      </c>
      <c r="J61" s="448">
        <f t="shared" si="30"/>
        <v>5441</v>
      </c>
      <c r="K61" s="433"/>
      <c r="L61" s="448">
        <f>L60-J60</f>
        <v>1430.6633420669787</v>
      </c>
      <c r="M61" s="448">
        <f>M60-L60</f>
        <v>1010.4734297126088</v>
      </c>
      <c r="N61" s="448">
        <f t="shared" ref="N61:P61" si="31">N60-M60</f>
        <v>4542.4348227562114</v>
      </c>
      <c r="O61" s="448">
        <f t="shared" si="31"/>
        <v>2831.7409153607878</v>
      </c>
      <c r="P61" s="448">
        <f t="shared" si="31"/>
        <v>3526.8157500482885</v>
      </c>
    </row>
    <row r="62" spans="1:16" x14ac:dyDescent="0.35">
      <c r="A62" s="432" t="s">
        <v>413</v>
      </c>
      <c r="B62" s="432"/>
      <c r="C62" s="432"/>
      <c r="D62" s="432"/>
      <c r="E62" s="432"/>
      <c r="F62" s="448"/>
      <c r="G62" s="436">
        <f>G61/F60</f>
        <v>0.69330954504906339</v>
      </c>
      <c r="H62" s="436">
        <f>H61/G60</f>
        <v>-0.24128121378147718</v>
      </c>
      <c r="I62" s="436">
        <f t="shared" ref="I62:J62" si="32">I61/H60</f>
        <v>-9.7486460213859191E-2</v>
      </c>
      <c r="J62" s="436">
        <f t="shared" si="32"/>
        <v>0.8372057239575319</v>
      </c>
      <c r="K62" s="436"/>
      <c r="L62" s="436">
        <f>L61/J60</f>
        <v>0.11982105042437007</v>
      </c>
      <c r="M62" s="436">
        <f>M61/L60</f>
        <v>7.5573919098945702E-2</v>
      </c>
      <c r="N62" s="436">
        <f t="shared" ref="N62:P62" si="33">N61/M60</f>
        <v>0.31586062317896374</v>
      </c>
      <c r="O62" s="436">
        <f t="shared" si="33"/>
        <v>0.14964093333091813</v>
      </c>
      <c r="P62" s="436">
        <f t="shared" si="33"/>
        <v>0.16211285167445535</v>
      </c>
    </row>
    <row r="63" spans="1:16" x14ac:dyDescent="0.35">
      <c r="A63" s="432" t="s">
        <v>415</v>
      </c>
      <c r="B63" s="432"/>
      <c r="C63" s="432"/>
      <c r="D63" s="432"/>
      <c r="E63" s="432"/>
      <c r="F63" s="436">
        <f>(F34+F30+F28)/(F34+F30+F46+F28)</f>
        <v>0.7637677973966347</v>
      </c>
      <c r="G63" s="436">
        <f t="shared" ref="G63:P63" si="34">(G34+G30+G28)/(G34+G30+G46+G28)</f>
        <v>0.78526109183859782</v>
      </c>
      <c r="H63" s="436">
        <f t="shared" si="34"/>
        <v>0.83806646525679762</v>
      </c>
      <c r="I63" s="436">
        <f t="shared" si="34"/>
        <v>0.91713069853773377</v>
      </c>
      <c r="J63" s="436">
        <f t="shared" si="34"/>
        <v>0.91396424380479047</v>
      </c>
      <c r="K63" s="436"/>
      <c r="L63" s="436">
        <f t="shared" si="34"/>
        <v>0.84323223879407683</v>
      </c>
      <c r="M63" s="436">
        <f t="shared" si="34"/>
        <v>0.76291159211581028</v>
      </c>
      <c r="N63" s="436">
        <f t="shared" si="34"/>
        <v>0.67658668962016222</v>
      </c>
      <c r="O63" s="436">
        <f t="shared" si="34"/>
        <v>0.60491792525072707</v>
      </c>
      <c r="P63" s="436">
        <f t="shared" si="34"/>
        <v>0.52594429569498014</v>
      </c>
    </row>
    <row r="64" spans="1:16" x14ac:dyDescent="0.35">
      <c r="A64" s="441" t="s">
        <v>411</v>
      </c>
      <c r="B64" s="441"/>
      <c r="C64" s="441"/>
      <c r="D64" s="441"/>
      <c r="E64" s="441"/>
      <c r="F64" s="449">
        <f>(F34+F30+F28)/F46</f>
        <v>3.2331231262276439</v>
      </c>
      <c r="G64" s="449">
        <f t="shared" ref="G64:P64" si="35">(G34+G30+G28)/G46</f>
        <v>3.6568179402699541</v>
      </c>
      <c r="H64" s="449">
        <f t="shared" si="35"/>
        <v>5.1753731343283578</v>
      </c>
      <c r="I64" s="449">
        <f t="shared" si="35"/>
        <v>11.067194755531276</v>
      </c>
      <c r="J64" s="449">
        <f t="shared" si="35"/>
        <v>10.623074454428755</v>
      </c>
      <c r="K64" s="449"/>
      <c r="L64" s="449">
        <f t="shared" si="35"/>
        <v>5.378862543596858</v>
      </c>
      <c r="M64" s="449">
        <f t="shared" si="35"/>
        <v>3.2178359073905822</v>
      </c>
      <c r="N64" s="449">
        <f t="shared" si="35"/>
        <v>2.0920186891056978</v>
      </c>
      <c r="O64" s="449">
        <f t="shared" si="35"/>
        <v>1.5311196430124554</v>
      </c>
      <c r="P64" s="449">
        <f t="shared" si="35"/>
        <v>1.1094567387729901</v>
      </c>
    </row>
    <row r="65" spans="1:16" x14ac:dyDescent="0.35">
      <c r="K65" s="450"/>
    </row>
    <row r="66" spans="1:16" x14ac:dyDescent="0.35">
      <c r="K66" s="450"/>
    </row>
    <row r="67" spans="1:16" x14ac:dyDescent="0.35">
      <c r="A67" s="126" t="s">
        <v>209</v>
      </c>
      <c r="K67" s="130"/>
    </row>
    <row r="68" spans="1:16" x14ac:dyDescent="0.35">
      <c r="A68" s="126" t="s">
        <v>210</v>
      </c>
      <c r="K68" s="130"/>
    </row>
    <row r="69" spans="1:16" x14ac:dyDescent="0.35">
      <c r="A69" s="76" t="s">
        <v>211</v>
      </c>
      <c r="F69" s="114">
        <f>F12</f>
        <v>4057</v>
      </c>
      <c r="G69" s="114">
        <f>G12</f>
        <v>4525</v>
      </c>
      <c r="H69" s="114">
        <f>H12</f>
        <v>4895</v>
      </c>
      <c r="I69" s="114">
        <f>I12</f>
        <v>5563</v>
      </c>
      <c r="J69" s="114">
        <f>J12</f>
        <v>7268</v>
      </c>
      <c r="K69" s="132"/>
      <c r="L69" s="77"/>
      <c r="M69" s="77"/>
      <c r="N69" s="77"/>
      <c r="O69" s="77"/>
      <c r="P69" s="77"/>
    </row>
    <row r="70" spans="1:16" x14ac:dyDescent="0.35">
      <c r="A70" s="127" t="s">
        <v>212</v>
      </c>
      <c r="F70" s="116">
        <f>F69/IS!F8*365</f>
        <v>66.690911547468929</v>
      </c>
      <c r="G70" s="116">
        <f>G69/IS!G8*365</f>
        <v>68.136344884488452</v>
      </c>
      <c r="H70" s="116">
        <f>H69/IS!H8*365</f>
        <v>73.53479853479854</v>
      </c>
      <c r="I70" s="116">
        <f>I69/IS!I8*365</f>
        <v>81.871497117051732</v>
      </c>
      <c r="J70" s="116">
        <f>J69/IS!J8*365</f>
        <v>98.581196581196579</v>
      </c>
      <c r="K70" s="134">
        <f>J70</f>
        <v>98.581196581196579</v>
      </c>
    </row>
    <row r="71" spans="1:16" x14ac:dyDescent="0.35">
      <c r="A71" s="128" t="s">
        <v>213</v>
      </c>
      <c r="F71" s="114">
        <f>F13</f>
        <v>3584</v>
      </c>
      <c r="G71" s="114">
        <f>G13</f>
        <v>3893</v>
      </c>
      <c r="H71" s="114">
        <f>H13</f>
        <v>4086</v>
      </c>
      <c r="I71" s="114">
        <f>I13</f>
        <v>4930</v>
      </c>
      <c r="J71" s="114">
        <f>J13</f>
        <v>9518</v>
      </c>
      <c r="K71" s="132"/>
      <c r="L71" s="77"/>
      <c r="M71" s="77"/>
      <c r="N71" s="77"/>
      <c r="O71" s="77"/>
      <c r="P71" s="77"/>
    </row>
    <row r="72" spans="1:16" x14ac:dyDescent="0.35">
      <c r="A72" s="127" t="s">
        <v>214</v>
      </c>
      <c r="F72" s="116">
        <f>F71/(IS!F19)*365</f>
        <v>426.80587275693313</v>
      </c>
      <c r="G72" s="116">
        <f>G71/(IS!G19)*365</f>
        <v>422.6487209994051</v>
      </c>
      <c r="H72" s="116">
        <f>H71/(IS!H19)*365</f>
        <v>373.40761141712574</v>
      </c>
      <c r="I72" s="116">
        <f>I71/(IS!I19)*365</f>
        <v>455.44166033915462</v>
      </c>
      <c r="J72" s="116">
        <f>J71/(IS!J19)*365</f>
        <v>759.69166848895691</v>
      </c>
      <c r="K72" s="134">
        <f>AVERAGE(F72:J72)</f>
        <v>487.5991068003151</v>
      </c>
    </row>
    <row r="73" spans="1:16" x14ac:dyDescent="0.35">
      <c r="A73" s="128" t="s">
        <v>215</v>
      </c>
      <c r="F73" s="114">
        <f>F14</f>
        <v>1888</v>
      </c>
      <c r="G73" s="114">
        <f>G14</f>
        <v>2079</v>
      </c>
      <c r="H73" s="114">
        <f>H14</f>
        <v>2367</v>
      </c>
      <c r="I73" s="114">
        <f>I14</f>
        <v>2388</v>
      </c>
      <c r="J73" s="114">
        <f>J14</f>
        <v>2602</v>
      </c>
      <c r="K73" s="132"/>
      <c r="L73" s="77"/>
      <c r="M73" s="77"/>
      <c r="N73" s="77"/>
      <c r="O73" s="77"/>
      <c r="P73" s="77"/>
    </row>
    <row r="74" spans="1:16" x14ac:dyDescent="0.35">
      <c r="A74" s="127" t="s">
        <v>216</v>
      </c>
      <c r="F74" s="56">
        <f>F73/IS!F8</f>
        <v>8.5029724373986676E-2</v>
      </c>
      <c r="G74" s="56">
        <f>G73/IS!G8</f>
        <v>8.5767326732673274E-2</v>
      </c>
      <c r="H74" s="56">
        <f>H73/IS!H8</f>
        <v>9.7419434498086183E-2</v>
      </c>
      <c r="I74" s="56">
        <f>I73/IS!I8</f>
        <v>9.6286440062900686E-2</v>
      </c>
      <c r="J74" s="56">
        <f>J73/IS!J8</f>
        <v>9.6692679301374956E-2</v>
      </c>
      <c r="K74" s="142">
        <f>AVERAGE(F74:J74)</f>
        <v>9.2239120993804338E-2</v>
      </c>
    </row>
    <row r="75" spans="1:16" x14ac:dyDescent="0.35">
      <c r="A75" s="128"/>
      <c r="F75" s="52"/>
      <c r="G75" s="52"/>
      <c r="H75" s="52"/>
      <c r="I75" s="52"/>
      <c r="J75" s="52"/>
      <c r="K75" s="132"/>
    </row>
    <row r="76" spans="1:16" x14ac:dyDescent="0.35">
      <c r="A76" s="126" t="s">
        <v>217</v>
      </c>
      <c r="F76" s="52"/>
      <c r="G76" s="52"/>
      <c r="H76" s="52"/>
      <c r="I76" s="52"/>
      <c r="J76" s="52"/>
      <c r="K76" s="132"/>
    </row>
    <row r="77" spans="1:16" x14ac:dyDescent="0.35">
      <c r="A77" s="128" t="s">
        <v>279</v>
      </c>
      <c r="F77" s="114">
        <f>F28</f>
        <v>1371</v>
      </c>
      <c r="G77" s="114">
        <f>G28</f>
        <v>1421</v>
      </c>
      <c r="H77" s="114">
        <f>H28</f>
        <v>1366</v>
      </c>
      <c r="I77" s="114">
        <f>I28</f>
        <v>1572</v>
      </c>
      <c r="J77" s="114">
        <f>J28</f>
        <v>1590</v>
      </c>
      <c r="K77" s="132"/>
      <c r="L77" s="77"/>
      <c r="M77" s="77"/>
      <c r="N77" s="77"/>
      <c r="O77" s="77"/>
      <c r="P77" s="77"/>
    </row>
    <row r="78" spans="1:16" x14ac:dyDescent="0.35">
      <c r="A78" s="127" t="s">
        <v>218</v>
      </c>
      <c r="F78" s="116">
        <f>365/IS!F19*BS!F77</f>
        <v>163.26753670473082</v>
      </c>
      <c r="G78" s="116">
        <f>365/IS!G19*BS!G77</f>
        <v>154.27275431290897</v>
      </c>
      <c r="H78" s="116">
        <f>365/IS!H19*BS!H77</f>
        <v>124.83475212819229</v>
      </c>
      <c r="I78" s="116">
        <f>365/IS!I19*BS!I77</f>
        <v>145.22399392558847</v>
      </c>
      <c r="J78" s="116">
        <f>365/IS!J19*BS!J77</f>
        <v>126.90793789634814</v>
      </c>
      <c r="K78" s="134">
        <f>AVERAGE(F78:J78)</f>
        <v>142.90139499355374</v>
      </c>
    </row>
    <row r="79" spans="1:16" x14ac:dyDescent="0.35">
      <c r="K79" s="130"/>
    </row>
    <row r="80" spans="1:16" x14ac:dyDescent="0.35">
      <c r="F80" s="60"/>
      <c r="G80" s="60"/>
      <c r="H80" s="60"/>
      <c r="I80" s="60"/>
      <c r="J80" s="60"/>
      <c r="K80" s="143"/>
    </row>
    <row r="81" spans="1:16" x14ac:dyDescent="0.35">
      <c r="A81" s="12" t="s">
        <v>224</v>
      </c>
      <c r="F81" s="129">
        <f>F70+F72-F78</f>
        <v>330.22924759967123</v>
      </c>
      <c r="G81" s="129">
        <f t="shared" ref="G81:I81" si="36">G70+G72-G78</f>
        <v>336.51231157098459</v>
      </c>
      <c r="H81" s="129">
        <f t="shared" si="36"/>
        <v>322.10765782373198</v>
      </c>
      <c r="I81" s="129">
        <f t="shared" si="36"/>
        <v>392.08916353061784</v>
      </c>
      <c r="J81" s="129">
        <f>J70+J72-J78</f>
        <v>731.36492717380531</v>
      </c>
      <c r="K81" s="130"/>
      <c r="L81" s="129"/>
      <c r="M81" s="129"/>
      <c r="N81" s="129"/>
      <c r="O81" s="129"/>
      <c r="P81" s="129"/>
    </row>
  </sheetData>
  <mergeCells count="3">
    <mergeCell ref="K1:K3"/>
    <mergeCell ref="A43:E43"/>
    <mergeCell ref="A1:B1"/>
  </mergeCells>
  <pageMargins left="0.7" right="0.7" top="0.75" bottom="0.75" header="0.3" footer="0.3"/>
  <cellWatches>
    <cellWatch r="L54"/>
    <cellWatch r="M54"/>
    <cellWatch r="N54"/>
    <cellWatch r="O54"/>
    <cellWatch r="P54"/>
  </cellWatch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F5438-A5B8-4F5E-A364-E11AEE571C28}">
  <dimension ref="A1:O75"/>
  <sheetViews>
    <sheetView zoomScaleNormal="100" workbookViewId="0">
      <pane xSplit="5" ySplit="6" topLeftCell="F7" activePane="bottomRight" state="frozen"/>
      <selection pane="topRight" activeCell="F1" sqref="F1"/>
      <selection pane="bottomLeft" activeCell="A7" sqref="A7"/>
      <selection pane="bottomRight" activeCell="F3" activeCellId="1" sqref="J14 F3:J3"/>
    </sheetView>
  </sheetViews>
  <sheetFormatPr defaultRowHeight="14.5" x14ac:dyDescent="0.35"/>
  <cols>
    <col min="1" max="4" width="8.7265625" style="12"/>
    <col min="5" max="5" width="9.26953125" style="12" customWidth="1"/>
    <col min="6" max="10" width="11.90625" style="12" customWidth="1"/>
    <col min="11" max="11" width="8.7265625" style="12"/>
    <col min="12" max="12" width="9.36328125" style="12" bestFit="1" customWidth="1"/>
    <col min="13" max="16384" width="8.7265625" style="12"/>
  </cols>
  <sheetData>
    <row r="1" spans="1:15" ht="21" x14ac:dyDescent="0.5">
      <c r="A1" s="472" t="s">
        <v>12</v>
      </c>
      <c r="B1" s="472"/>
      <c r="C1" s="2"/>
      <c r="D1" s="2"/>
      <c r="E1" s="2"/>
      <c r="F1" s="85" t="s">
        <v>100</v>
      </c>
      <c r="G1" s="85" t="s">
        <v>100</v>
      </c>
      <c r="H1" s="85" t="s">
        <v>100</v>
      </c>
      <c r="I1" s="85" t="s">
        <v>100</v>
      </c>
      <c r="J1" s="85" t="s">
        <v>100</v>
      </c>
    </row>
    <row r="2" spans="1:15" x14ac:dyDescent="0.35">
      <c r="A2" s="69" t="s">
        <v>403</v>
      </c>
      <c r="B2" s="69"/>
      <c r="C2" s="69"/>
      <c r="D2" s="69"/>
      <c r="E2" s="69"/>
      <c r="F2" s="86"/>
      <c r="G2" s="86"/>
      <c r="H2" s="86"/>
      <c r="I2" s="86"/>
      <c r="J2" s="86"/>
    </row>
    <row r="3" spans="1:15" x14ac:dyDescent="0.35">
      <c r="A3" s="69"/>
      <c r="B3" s="69"/>
      <c r="C3" s="69"/>
      <c r="D3" s="69"/>
      <c r="E3" s="113"/>
      <c r="F3" s="464">
        <v>45657</v>
      </c>
      <c r="G3" s="464">
        <v>46022</v>
      </c>
      <c r="H3" s="464">
        <v>46387</v>
      </c>
      <c r="I3" s="464">
        <v>46752</v>
      </c>
      <c r="J3" s="464">
        <v>47118</v>
      </c>
    </row>
    <row r="4" spans="1:15" x14ac:dyDescent="0.35">
      <c r="A4" s="69"/>
      <c r="B4" s="69"/>
      <c r="C4" s="69"/>
      <c r="D4" s="69"/>
      <c r="E4" s="69"/>
      <c r="F4" s="2"/>
      <c r="G4" s="2"/>
      <c r="H4" s="2"/>
      <c r="I4" s="2"/>
      <c r="J4" s="2"/>
    </row>
    <row r="5" spans="1:15" x14ac:dyDescent="0.35">
      <c r="A5" s="69"/>
      <c r="B5" s="69"/>
      <c r="C5" s="69"/>
      <c r="D5" s="69"/>
      <c r="E5" s="69"/>
      <c r="F5" s="87" t="s">
        <v>106</v>
      </c>
      <c r="G5" s="87" t="s">
        <v>107</v>
      </c>
      <c r="H5" s="87" t="s">
        <v>108</v>
      </c>
      <c r="I5" s="87" t="s">
        <v>109</v>
      </c>
      <c r="J5" s="87" t="s">
        <v>110</v>
      </c>
    </row>
    <row r="6" spans="1:15" x14ac:dyDescent="0.35">
      <c r="A6" s="2"/>
      <c r="B6" s="2"/>
      <c r="C6" s="2"/>
      <c r="D6" s="2"/>
      <c r="E6" s="2"/>
      <c r="F6" s="2"/>
      <c r="G6" s="2"/>
      <c r="H6" s="2"/>
      <c r="I6" s="2"/>
      <c r="J6" s="2"/>
    </row>
    <row r="7" spans="1:15" x14ac:dyDescent="0.35">
      <c r="A7" s="12" t="s">
        <v>265</v>
      </c>
      <c r="F7" s="77">
        <f>BS!J30+BS!J34</f>
        <v>64613</v>
      </c>
      <c r="G7" s="77">
        <f>F14</f>
        <v>63210</v>
      </c>
      <c r="H7" s="77">
        <f t="shared" ref="H7:J7" si="0">G14</f>
        <v>57710</v>
      </c>
      <c r="I7" s="77">
        <f t="shared" si="0"/>
        <v>51527</v>
      </c>
      <c r="J7" s="77">
        <f t="shared" si="0"/>
        <v>48803</v>
      </c>
      <c r="K7" s="77"/>
    </row>
    <row r="8" spans="1:15" x14ac:dyDescent="0.35">
      <c r="A8" s="88" t="s">
        <v>266</v>
      </c>
      <c r="F8" s="77">
        <f>CFS!F28</f>
        <v>7861.3771184438556</v>
      </c>
      <c r="G8" s="77">
        <f>CFS!G28</f>
        <v>6711.1640682700418</v>
      </c>
      <c r="H8" s="77">
        <f>CFS!H28</f>
        <v>6807.5082690215368</v>
      </c>
      <c r="I8" s="77">
        <f>CFS!I28</f>
        <v>7579.8553787809169</v>
      </c>
      <c r="J8" s="77">
        <f>CFS!J28</f>
        <v>7055.7775202793164</v>
      </c>
      <c r="L8" s="89"/>
    </row>
    <row r="9" spans="1:15" x14ac:dyDescent="0.35">
      <c r="A9" s="90" t="s">
        <v>267</v>
      </c>
      <c r="B9" s="91"/>
      <c r="C9" s="91"/>
      <c r="D9" s="91"/>
      <c r="E9" s="91"/>
      <c r="F9" s="92">
        <f>BS!J10</f>
        <v>10944</v>
      </c>
      <c r="G9" s="92">
        <f>CFS!F38</f>
        <v>17402.377118443859</v>
      </c>
      <c r="H9" s="92">
        <f>CFS!G38</f>
        <v>18613.541186713901</v>
      </c>
      <c r="I9" s="92">
        <f>CFS!H38</f>
        <v>19238.04945573544</v>
      </c>
      <c r="J9" s="92">
        <f>CFS!I38</f>
        <v>24093.904834516354</v>
      </c>
    </row>
    <row r="10" spans="1:15" x14ac:dyDescent="0.35">
      <c r="A10" s="88" t="s">
        <v>268</v>
      </c>
      <c r="F10" s="77">
        <f>F9+F8</f>
        <v>18805.377118443856</v>
      </c>
      <c r="G10" s="77">
        <f t="shared" ref="G10:J10" si="1">G9+G8</f>
        <v>24113.541186713901</v>
      </c>
      <c r="H10" s="77">
        <f t="shared" si="1"/>
        <v>25421.04945573544</v>
      </c>
      <c r="I10" s="77">
        <f t="shared" si="1"/>
        <v>26817.904834516357</v>
      </c>
      <c r="J10" s="77">
        <f t="shared" si="1"/>
        <v>31149.68235479567</v>
      </c>
    </row>
    <row r="11" spans="1:15" x14ac:dyDescent="0.35">
      <c r="A11" s="88" t="s">
        <v>269</v>
      </c>
      <c r="F11" s="77">
        <f>(1403)</f>
        <v>1403</v>
      </c>
      <c r="G11" s="77">
        <f>(5500)</f>
        <v>5500</v>
      </c>
      <c r="H11" s="77">
        <f>(6183)</f>
        <v>6183</v>
      </c>
      <c r="I11" s="77">
        <f>(2724)</f>
        <v>2724</v>
      </c>
      <c r="J11" s="77">
        <f>(4984)</f>
        <v>4984</v>
      </c>
    </row>
    <row r="12" spans="1:15" x14ac:dyDescent="0.35">
      <c r="A12" s="88" t="s">
        <v>270</v>
      </c>
      <c r="F12" s="77">
        <f>F10-F11</f>
        <v>17402.377118443856</v>
      </c>
      <c r="G12" s="77">
        <f t="shared" ref="G12:J12" si="2">G10-G11</f>
        <v>18613.541186713901</v>
      </c>
      <c r="H12" s="77">
        <f t="shared" si="2"/>
        <v>19238.04945573544</v>
      </c>
      <c r="I12" s="77">
        <f t="shared" si="2"/>
        <v>24093.904834516357</v>
      </c>
      <c r="J12" s="77">
        <f t="shared" si="2"/>
        <v>26165.68235479567</v>
      </c>
      <c r="L12" s="89"/>
      <c r="M12" s="89"/>
      <c r="N12" s="89"/>
      <c r="O12" s="89"/>
    </row>
    <row r="13" spans="1:15" x14ac:dyDescent="0.35">
      <c r="A13" s="88" t="s">
        <v>271</v>
      </c>
      <c r="F13" s="77">
        <f>0</f>
        <v>0</v>
      </c>
      <c r="G13" s="77">
        <f>F13</f>
        <v>0</v>
      </c>
      <c r="H13" s="77">
        <v>0</v>
      </c>
      <c r="I13" s="77">
        <v>0</v>
      </c>
      <c r="J13" s="77">
        <v>0</v>
      </c>
    </row>
    <row r="14" spans="1:15" x14ac:dyDescent="0.35">
      <c r="A14" s="93" t="s">
        <v>272</v>
      </c>
      <c r="F14" s="77">
        <f>F7+F13-F11</f>
        <v>63210</v>
      </c>
      <c r="G14" s="77">
        <f t="shared" ref="G14:J14" si="3">G7+G13-G11</f>
        <v>57710</v>
      </c>
      <c r="H14" s="77">
        <f t="shared" si="3"/>
        <v>51527</v>
      </c>
      <c r="I14" s="77">
        <f t="shared" si="3"/>
        <v>48803</v>
      </c>
      <c r="J14" s="467">
        <f t="shared" si="3"/>
        <v>43819</v>
      </c>
    </row>
    <row r="15" spans="1:15" x14ac:dyDescent="0.35">
      <c r="A15" s="88" t="s">
        <v>273</v>
      </c>
      <c r="F15" s="77">
        <f>G11</f>
        <v>5500</v>
      </c>
      <c r="G15" s="77">
        <f t="shared" ref="G15:H15" si="4">H11</f>
        <v>6183</v>
      </c>
      <c r="H15" s="77">
        <f t="shared" si="4"/>
        <v>2724</v>
      </c>
      <c r="I15" s="77">
        <f>J11</f>
        <v>4984</v>
      </c>
      <c r="J15" s="77">
        <f>J25</f>
        <v>3824.7529193583391</v>
      </c>
      <c r="M15" s="94"/>
    </row>
    <row r="16" spans="1:15" x14ac:dyDescent="0.35">
      <c r="A16" s="88" t="s">
        <v>274</v>
      </c>
      <c r="F16" s="77">
        <f>F14-F15</f>
        <v>57710</v>
      </c>
      <c r="G16" s="77">
        <f t="shared" ref="G16:J16" si="5">G14-G15</f>
        <v>51527</v>
      </c>
      <c r="H16" s="77">
        <f t="shared" si="5"/>
        <v>48803</v>
      </c>
      <c r="I16" s="77">
        <f t="shared" si="5"/>
        <v>43819</v>
      </c>
      <c r="J16" s="77">
        <f t="shared" si="5"/>
        <v>39994.24708064166</v>
      </c>
    </row>
    <row r="17" spans="1:12" x14ac:dyDescent="0.35">
      <c r="F17" s="77"/>
      <c r="G17" s="77"/>
      <c r="H17" s="77"/>
      <c r="I17" s="77"/>
      <c r="J17" s="77"/>
      <c r="L17" s="95"/>
    </row>
    <row r="18" spans="1:12" x14ac:dyDescent="0.35">
      <c r="A18" s="12" t="s">
        <v>277</v>
      </c>
      <c r="F18" s="77">
        <f>-(F7*F21)</f>
        <v>-2621.0098629864319</v>
      </c>
      <c r="G18" s="77">
        <f>-(G7*G21)</f>
        <v>-2564.09752587517</v>
      </c>
      <c r="H18" s="77">
        <f>-(H7*H21)</f>
        <v>-2340.9914288602445</v>
      </c>
      <c r="I18" s="77">
        <f>-(I7*I21)</f>
        <v>-2090.1796110705563</v>
      </c>
      <c r="J18" s="77">
        <f>-(J7*J21)</f>
        <v>-1979.6812459308007</v>
      </c>
    </row>
    <row r="21" spans="1:12" x14ac:dyDescent="0.35">
      <c r="A21" s="12" t="s">
        <v>275</v>
      </c>
      <c r="C21" s="12" t="s">
        <v>276</v>
      </c>
      <c r="F21" s="94">
        <f>J74</f>
        <v>4.0564744911804618E-2</v>
      </c>
      <c r="G21" s="94">
        <f>F21</f>
        <v>4.0564744911804618E-2</v>
      </c>
      <c r="H21" s="94">
        <f t="shared" ref="H21:J21" si="6">G21</f>
        <v>4.0564744911804618E-2</v>
      </c>
      <c r="I21" s="94">
        <f t="shared" si="6"/>
        <v>4.0564744911804618E-2</v>
      </c>
      <c r="J21" s="94">
        <f t="shared" si="6"/>
        <v>4.0564744911804618E-2</v>
      </c>
    </row>
    <row r="22" spans="1:12" x14ac:dyDescent="0.35">
      <c r="A22" s="110" t="s">
        <v>284</v>
      </c>
      <c r="B22" s="110"/>
      <c r="C22" s="110"/>
      <c r="D22" s="111"/>
      <c r="F22" s="348">
        <f>J74</f>
        <v>4.0564744911804618E-2</v>
      </c>
    </row>
    <row r="23" spans="1:12" x14ac:dyDescent="0.35">
      <c r="A23" s="508" t="s">
        <v>406</v>
      </c>
      <c r="B23" s="508"/>
      <c r="C23" s="508"/>
      <c r="D23" s="508"/>
      <c r="E23" s="508"/>
      <c r="F23" s="200">
        <f>F15/F14</f>
        <v>8.7011548805568745E-2</v>
      </c>
      <c r="G23" s="200">
        <f>G15/G14</f>
        <v>0.10713914399584128</v>
      </c>
      <c r="H23" s="200">
        <f>H15/H14</f>
        <v>5.2865487996584318E-2</v>
      </c>
      <c r="I23" s="200">
        <f>I15/I14</f>
        <v>0.10212486937278446</v>
      </c>
      <c r="J23" s="200">
        <f>AVERAGE(F23:I23)</f>
        <v>8.7285262542694697E-2</v>
      </c>
    </row>
    <row r="24" spans="1:12" x14ac:dyDescent="0.35">
      <c r="A24" s="508"/>
      <c r="B24" s="508"/>
      <c r="C24" s="508"/>
      <c r="D24" s="508"/>
      <c r="E24" s="508"/>
    </row>
    <row r="25" spans="1:12" x14ac:dyDescent="0.35">
      <c r="A25" s="48" t="s">
        <v>407</v>
      </c>
      <c r="B25" s="48"/>
      <c r="C25" s="48"/>
      <c r="D25" s="48"/>
      <c r="E25" s="48"/>
      <c r="F25" s="48"/>
      <c r="G25" s="48"/>
      <c r="H25" s="48"/>
      <c r="I25" s="48"/>
      <c r="J25" s="110">
        <f>J14*J23</f>
        <v>3824.7529193583391</v>
      </c>
      <c r="K25" s="103"/>
    </row>
    <row r="26" spans="1:12" ht="15" thickBot="1" x14ac:dyDescent="0.4">
      <c r="J26" s="102"/>
      <c r="K26" s="103"/>
    </row>
    <row r="27" spans="1:12" ht="15" thickBot="1" x14ac:dyDescent="0.4">
      <c r="G27" s="96" t="s">
        <v>280</v>
      </c>
      <c r="H27" s="97" t="s">
        <v>281</v>
      </c>
      <c r="I27" s="98" t="s">
        <v>282</v>
      </c>
      <c r="J27" s="102"/>
      <c r="K27" s="103"/>
    </row>
    <row r="28" spans="1:12" x14ac:dyDescent="0.35">
      <c r="G28" s="99">
        <v>1400</v>
      </c>
      <c r="H28" s="100">
        <v>3.6249999999999998E-2</v>
      </c>
      <c r="I28" s="101">
        <f t="shared" ref="I28:I73" si="7">G28/$G$75</f>
        <v>2.1106588270767376E-2</v>
      </c>
      <c r="J28" s="102"/>
      <c r="K28" s="103"/>
    </row>
    <row r="29" spans="1:12" x14ac:dyDescent="0.35">
      <c r="G29" s="104">
        <v>500</v>
      </c>
      <c r="H29" s="105">
        <f>0.019</f>
        <v>1.9E-2</v>
      </c>
      <c r="I29" s="106">
        <f t="shared" si="7"/>
        <v>7.5380672395597773E-3</v>
      </c>
      <c r="J29" s="102"/>
      <c r="K29" s="103"/>
      <c r="L29" s="89"/>
    </row>
    <row r="30" spans="1:12" x14ac:dyDescent="0.35">
      <c r="G30" s="104">
        <v>2000</v>
      </c>
      <c r="H30" s="105">
        <v>5.2499999999999998E-2</v>
      </c>
      <c r="I30" s="106">
        <f t="shared" si="7"/>
        <v>3.0152268958239109E-2</v>
      </c>
      <c r="J30" s="102"/>
      <c r="K30" s="103"/>
    </row>
    <row r="31" spans="1:12" x14ac:dyDescent="0.35">
      <c r="G31" s="104">
        <v>2000</v>
      </c>
      <c r="H31" s="105"/>
      <c r="I31" s="106">
        <f t="shared" si="7"/>
        <v>3.0152268958239109E-2</v>
      </c>
      <c r="J31" s="102"/>
      <c r="K31" s="103"/>
    </row>
    <row r="32" spans="1:12" x14ac:dyDescent="0.35">
      <c r="G32" s="104">
        <v>1000</v>
      </c>
      <c r="H32" s="105">
        <v>3.125E-2</v>
      </c>
      <c r="I32" s="106">
        <f t="shared" si="7"/>
        <v>1.5076134479119555E-2</v>
      </c>
      <c r="J32" s="102"/>
      <c r="K32" s="103"/>
    </row>
    <row r="33" spans="7:11" x14ac:dyDescent="0.35">
      <c r="G33" s="104">
        <v>828</v>
      </c>
      <c r="H33" s="105">
        <v>0.02</v>
      </c>
      <c r="I33" s="106">
        <f t="shared" si="7"/>
        <v>1.248303934871099E-2</v>
      </c>
      <c r="J33" s="102"/>
      <c r="K33" s="103"/>
    </row>
    <row r="34" spans="7:11" x14ac:dyDescent="0.35">
      <c r="G34" s="104">
        <v>1500</v>
      </c>
      <c r="H34" s="105">
        <v>5.5070000000000001E-2</v>
      </c>
      <c r="I34" s="106">
        <f t="shared" si="7"/>
        <v>2.2614201718679332E-2</v>
      </c>
      <c r="J34" s="102"/>
      <c r="K34" s="103"/>
    </row>
    <row r="35" spans="7:11" x14ac:dyDescent="0.35">
      <c r="G35" s="104">
        <v>1250</v>
      </c>
      <c r="H35" s="105">
        <v>2.5999999999999999E-2</v>
      </c>
      <c r="I35" s="106">
        <f t="shared" si="7"/>
        <v>1.8845168098899443E-2</v>
      </c>
      <c r="J35" s="102"/>
      <c r="K35" s="103"/>
    </row>
    <row r="36" spans="7:11" x14ac:dyDescent="0.35">
      <c r="G36" s="104">
        <v>2000</v>
      </c>
      <c r="H36" s="105"/>
      <c r="I36" s="106">
        <f t="shared" si="7"/>
        <v>3.0152268958239109E-2</v>
      </c>
      <c r="J36" s="102"/>
      <c r="K36" s="103"/>
    </row>
    <row r="37" spans="7:11" x14ac:dyDescent="0.35">
      <c r="G37" s="104">
        <v>605</v>
      </c>
      <c r="H37" s="105">
        <v>5.5E-2</v>
      </c>
      <c r="I37" s="106">
        <f t="shared" si="7"/>
        <v>9.1210613598673301E-3</v>
      </c>
      <c r="J37" s="102"/>
      <c r="K37" s="103"/>
    </row>
    <row r="38" spans="7:11" x14ac:dyDescent="0.35">
      <c r="G38" s="104">
        <v>1724</v>
      </c>
      <c r="H38" s="105">
        <v>2.1999999999999999E-2</v>
      </c>
      <c r="I38" s="106">
        <f t="shared" si="7"/>
        <v>2.5991255842002112E-2</v>
      </c>
      <c r="J38" s="102"/>
      <c r="K38" s="103"/>
    </row>
    <row r="39" spans="7:11" x14ac:dyDescent="0.35">
      <c r="G39" s="104">
        <v>1000</v>
      </c>
      <c r="H39" s="105">
        <v>3.2000000000000001E-2</v>
      </c>
      <c r="I39" s="106">
        <f t="shared" si="7"/>
        <v>1.5076134479119555E-2</v>
      </c>
      <c r="J39" s="102"/>
      <c r="K39" s="103"/>
    </row>
    <row r="40" spans="7:11" x14ac:dyDescent="0.35">
      <c r="G40" s="104">
        <v>3750</v>
      </c>
      <c r="H40" s="105">
        <v>5.1499999999999997E-2</v>
      </c>
      <c r="I40" s="106">
        <f t="shared" si="7"/>
        <v>5.6535504296698326E-2</v>
      </c>
      <c r="J40" s="102"/>
      <c r="K40" s="103"/>
    </row>
    <row r="41" spans="7:11" x14ac:dyDescent="0.35">
      <c r="G41" s="104">
        <v>1234</v>
      </c>
      <c r="H41" s="105">
        <v>1.6500000000000001E-2</v>
      </c>
      <c r="I41" s="106">
        <f t="shared" si="7"/>
        <v>1.8603949947233529E-2</v>
      </c>
      <c r="J41" s="102"/>
      <c r="K41" s="103"/>
    </row>
    <row r="42" spans="7:11" x14ac:dyDescent="0.35">
      <c r="G42" s="104">
        <v>750</v>
      </c>
      <c r="H42" s="105">
        <v>0.03</v>
      </c>
      <c r="I42" s="106">
        <f t="shared" si="7"/>
        <v>1.1307100859339666E-2</v>
      </c>
      <c r="J42" s="102"/>
      <c r="K42" s="103"/>
    </row>
    <row r="43" spans="7:11" x14ac:dyDescent="0.35">
      <c r="G43" s="104">
        <v>1250</v>
      </c>
      <c r="H43" s="105">
        <v>4.0500000000000001E-2</v>
      </c>
      <c r="I43" s="106">
        <f t="shared" si="7"/>
        <v>1.8845168098899443E-2</v>
      </c>
      <c r="J43" s="102"/>
      <c r="K43" s="103"/>
    </row>
    <row r="44" spans="7:11" x14ac:dyDescent="0.35">
      <c r="G44" s="104">
        <v>892</v>
      </c>
      <c r="H44" s="105">
        <v>0.04</v>
      </c>
      <c r="I44" s="106">
        <f t="shared" si="7"/>
        <v>1.3447911955374642E-2</v>
      </c>
      <c r="J44" s="102"/>
      <c r="K44" s="103"/>
    </row>
    <row r="45" spans="7:11" x14ac:dyDescent="0.35">
      <c r="G45" s="104">
        <v>1250</v>
      </c>
      <c r="H45" s="105">
        <v>2.4500000000000001E-2</v>
      </c>
      <c r="I45" s="106">
        <f t="shared" si="7"/>
        <v>1.8845168098899443E-2</v>
      </c>
      <c r="J45" s="102"/>
      <c r="K45" s="103"/>
    </row>
    <row r="46" spans="7:11" x14ac:dyDescent="0.35">
      <c r="G46" s="104">
        <v>2750</v>
      </c>
      <c r="H46" s="105">
        <v>5.2499999999999998E-2</v>
      </c>
      <c r="I46" s="106">
        <f t="shared" si="7"/>
        <v>4.1459369817578771E-2</v>
      </c>
      <c r="J46" s="102"/>
      <c r="K46" s="103"/>
    </row>
    <row r="47" spans="7:11" x14ac:dyDescent="0.35">
      <c r="G47" s="104">
        <v>1250</v>
      </c>
      <c r="H47" s="105">
        <v>2.3E-2</v>
      </c>
      <c r="I47" s="106">
        <f t="shared" si="7"/>
        <v>1.8845168098899443E-2</v>
      </c>
      <c r="J47" s="102"/>
      <c r="K47" s="103"/>
    </row>
    <row r="48" spans="7:11" x14ac:dyDescent="0.35">
      <c r="G48" s="104">
        <v>1001</v>
      </c>
      <c r="H48" s="105">
        <v>0.02</v>
      </c>
      <c r="I48" s="106">
        <f t="shared" si="7"/>
        <v>1.5091210613598673E-2</v>
      </c>
      <c r="J48" s="102"/>
      <c r="K48" s="103"/>
    </row>
    <row r="49" spans="7:11" x14ac:dyDescent="0.35">
      <c r="G49" s="104">
        <v>1000</v>
      </c>
      <c r="H49" s="105">
        <v>3.3500000000000002E-2</v>
      </c>
      <c r="I49" s="106">
        <f t="shared" si="7"/>
        <v>1.5076134479119555E-2</v>
      </c>
      <c r="J49" s="102"/>
      <c r="K49" s="103"/>
    </row>
    <row r="50" spans="7:11" x14ac:dyDescent="0.35">
      <c r="G50" s="104">
        <v>750</v>
      </c>
      <c r="H50" s="105">
        <v>4.2000000000000003E-2</v>
      </c>
      <c r="I50" s="106">
        <f t="shared" si="7"/>
        <v>1.1307100859339666E-2</v>
      </c>
      <c r="J50" s="102"/>
      <c r="K50" s="103"/>
    </row>
    <row r="51" spans="7:11" x14ac:dyDescent="0.35">
      <c r="G51" s="104">
        <v>4250</v>
      </c>
      <c r="H51" s="105">
        <v>5.2499999999999998E-2</v>
      </c>
      <c r="I51" s="106">
        <f t="shared" si="7"/>
        <v>6.4073571536258103E-2</v>
      </c>
      <c r="J51" s="102"/>
      <c r="K51" s="103"/>
    </row>
    <row r="52" spans="7:11" x14ac:dyDescent="0.35">
      <c r="G52" s="104">
        <v>478</v>
      </c>
      <c r="H52" s="105">
        <v>6.3750000000000001E-2</v>
      </c>
      <c r="I52" s="106">
        <f t="shared" si="7"/>
        <v>7.206392281019147E-3</v>
      </c>
      <c r="J52" s="102"/>
      <c r="K52" s="103"/>
    </row>
    <row r="53" spans="7:11" x14ac:dyDescent="0.35">
      <c r="G53" s="104">
        <v>254</v>
      </c>
      <c r="H53" s="105">
        <v>6.9000000000000006E-2</v>
      </c>
      <c r="I53" s="106">
        <f t="shared" si="7"/>
        <v>3.8293381576963667E-3</v>
      </c>
      <c r="J53" s="102"/>
      <c r="K53" s="103"/>
    </row>
    <row r="54" spans="7:11" x14ac:dyDescent="0.35">
      <c r="G54" s="104">
        <v>333</v>
      </c>
      <c r="H54" s="107">
        <v>6.4000000000000001E-2</v>
      </c>
      <c r="I54" s="106">
        <f t="shared" si="7"/>
        <v>5.0203527815468113E-3</v>
      </c>
      <c r="J54" s="102"/>
      <c r="K54" s="103"/>
    </row>
    <row r="55" spans="7:11" x14ac:dyDescent="0.35">
      <c r="G55" s="104">
        <v>1803</v>
      </c>
      <c r="H55" s="105">
        <v>3.15E-2</v>
      </c>
      <c r="I55" s="106">
        <f t="shared" si="7"/>
        <v>2.7182270465852556E-2</v>
      </c>
      <c r="J55" s="102"/>
      <c r="K55" s="103"/>
    </row>
    <row r="56" spans="7:11" x14ac:dyDescent="0.35">
      <c r="G56" s="104">
        <v>373</v>
      </c>
      <c r="H56" s="105">
        <v>5.7500000000000002E-2</v>
      </c>
      <c r="I56" s="106">
        <f t="shared" si="7"/>
        <v>5.6233981607115933E-3</v>
      </c>
      <c r="J56" s="102"/>
      <c r="K56" s="103"/>
    </row>
    <row r="57" spans="7:11" x14ac:dyDescent="0.35">
      <c r="G57" s="104">
        <v>949</v>
      </c>
      <c r="H57" s="105">
        <v>2.8000000000000001E-2</v>
      </c>
      <c r="I57" s="106">
        <f t="shared" si="7"/>
        <v>1.4307251620684457E-2</v>
      </c>
      <c r="J57" s="102"/>
      <c r="K57" s="103"/>
    </row>
    <row r="58" spans="7:11" x14ac:dyDescent="0.35">
      <c r="G58" s="104">
        <v>600</v>
      </c>
      <c r="H58" s="105">
        <v>4.9500000000000002E-2</v>
      </c>
      <c r="I58" s="106">
        <f t="shared" si="7"/>
        <v>9.0456806874717327E-3</v>
      </c>
      <c r="J58" s="102"/>
      <c r="K58" s="103"/>
    </row>
    <row r="59" spans="7:11" x14ac:dyDescent="0.35">
      <c r="G59" s="104">
        <v>729</v>
      </c>
      <c r="H59" s="105">
        <v>5.1499999999999997E-2</v>
      </c>
      <c r="I59" s="106">
        <f t="shared" si="7"/>
        <v>1.0990502035278155E-2</v>
      </c>
      <c r="J59" s="102"/>
      <c r="K59" s="103"/>
    </row>
    <row r="60" spans="7:11" x14ac:dyDescent="0.35">
      <c r="G60" s="104">
        <v>415</v>
      </c>
      <c r="H60" s="105">
        <v>5.6500000000000002E-2</v>
      </c>
      <c r="I60" s="106">
        <f t="shared" si="7"/>
        <v>6.2565958088346149E-3</v>
      </c>
      <c r="J60" s="102"/>
      <c r="K60" s="103"/>
    </row>
    <row r="61" spans="7:11" x14ac:dyDescent="0.35">
      <c r="G61" s="104">
        <v>2750</v>
      </c>
      <c r="H61" s="105">
        <v>5.6000000000000001E-2</v>
      </c>
      <c r="I61" s="106">
        <f t="shared" si="7"/>
        <v>4.1459369817578771E-2</v>
      </c>
      <c r="J61" s="102"/>
      <c r="K61" s="103"/>
    </row>
    <row r="62" spans="7:11" x14ac:dyDescent="0.35">
      <c r="G62" s="104">
        <v>185</v>
      </c>
      <c r="H62" s="105">
        <v>5.3749999999999999E-2</v>
      </c>
      <c r="I62" s="106">
        <f t="shared" si="7"/>
        <v>2.7890848786371173E-3</v>
      </c>
      <c r="J62" s="102"/>
      <c r="K62" s="103"/>
    </row>
    <row r="63" spans="7:11" x14ac:dyDescent="0.35">
      <c r="G63" s="104">
        <v>2250</v>
      </c>
      <c r="H63" s="105">
        <v>4.3999999999999997E-2</v>
      </c>
      <c r="I63" s="106">
        <f t="shared" si="7"/>
        <v>3.3921302578018994E-2</v>
      </c>
      <c r="J63" s="102"/>
      <c r="K63" s="103"/>
    </row>
    <row r="64" spans="7:11" x14ac:dyDescent="0.35">
      <c r="G64" s="104">
        <v>1415</v>
      </c>
      <c r="H64" s="105">
        <v>4.5629999999999997E-2</v>
      </c>
      <c r="I64" s="106">
        <f t="shared" si="7"/>
        <v>2.1332730287954169E-2</v>
      </c>
      <c r="J64" s="102"/>
      <c r="K64" s="103"/>
    </row>
    <row r="65" spans="6:11" x14ac:dyDescent="0.35">
      <c r="G65" s="104">
        <v>2132</v>
      </c>
      <c r="H65" s="105">
        <v>3.3750000000000002E-2</v>
      </c>
      <c r="I65" s="106">
        <f t="shared" si="7"/>
        <v>3.2142318709482885E-2</v>
      </c>
      <c r="J65" s="102"/>
      <c r="K65" s="103"/>
    </row>
    <row r="66" spans="6:11" x14ac:dyDescent="0.35">
      <c r="G66" s="104">
        <v>3541</v>
      </c>
      <c r="H66" s="105">
        <v>4.6629999999999998E-2</v>
      </c>
      <c r="I66" s="106">
        <f t="shared" si="7"/>
        <v>5.3384592190562338E-2</v>
      </c>
      <c r="J66" s="102"/>
      <c r="K66" s="103"/>
    </row>
    <row r="67" spans="6:11" x14ac:dyDescent="0.35">
      <c r="G67" s="104">
        <v>999</v>
      </c>
      <c r="H67" s="105">
        <v>0.03</v>
      </c>
      <c r="I67" s="106">
        <f t="shared" si="7"/>
        <v>1.5061058344640435E-2</v>
      </c>
      <c r="J67" s="102"/>
      <c r="K67" s="103"/>
    </row>
    <row r="68" spans="6:11" x14ac:dyDescent="0.35">
      <c r="G68" s="104">
        <v>950</v>
      </c>
      <c r="H68" s="105">
        <v>4.2000000000000003E-2</v>
      </c>
      <c r="I68" s="106">
        <f t="shared" si="7"/>
        <v>1.4322327755163577E-2</v>
      </c>
      <c r="J68" s="102"/>
      <c r="K68" s="103"/>
    </row>
    <row r="69" spans="6:11" x14ac:dyDescent="0.35">
      <c r="G69" s="104">
        <v>1000</v>
      </c>
      <c r="H69" s="105">
        <v>4.8750000000000002E-2</v>
      </c>
      <c r="I69" s="106">
        <f t="shared" si="7"/>
        <v>1.5076134479119555E-2</v>
      </c>
      <c r="J69" s="102"/>
      <c r="K69" s="103"/>
    </row>
    <row r="70" spans="6:11" x14ac:dyDescent="0.35">
      <c r="G70" s="104">
        <v>4250</v>
      </c>
      <c r="H70" s="105">
        <v>5.6500000000000002E-2</v>
      </c>
      <c r="I70" s="106">
        <f t="shared" si="7"/>
        <v>6.4073571536258103E-2</v>
      </c>
      <c r="J70" s="102"/>
      <c r="K70" s="103"/>
    </row>
    <row r="71" spans="6:11" x14ac:dyDescent="0.35">
      <c r="G71" s="104">
        <v>940</v>
      </c>
      <c r="H71" s="105">
        <v>2.7699999999999999E-2</v>
      </c>
      <c r="I71" s="106">
        <f t="shared" si="7"/>
        <v>1.417156641037238E-2</v>
      </c>
      <c r="J71" s="108"/>
      <c r="K71" s="103"/>
    </row>
    <row r="72" spans="6:11" x14ac:dyDescent="0.35">
      <c r="G72" s="104">
        <v>1200</v>
      </c>
      <c r="H72" s="105">
        <v>4.3999999999999997E-2</v>
      </c>
      <c r="I72" s="106">
        <f t="shared" si="7"/>
        <v>1.8091361374943465E-2</v>
      </c>
      <c r="J72" s="52"/>
    </row>
    <row r="73" spans="6:11" x14ac:dyDescent="0.35">
      <c r="G73" s="104">
        <v>2750</v>
      </c>
      <c r="H73" s="105">
        <v>5.7500000000000002E-2</v>
      </c>
      <c r="I73" s="106">
        <f t="shared" si="7"/>
        <v>4.1459369817578771E-2</v>
      </c>
    </row>
    <row r="74" spans="6:11" x14ac:dyDescent="0.35">
      <c r="G74" s="104">
        <v>100</v>
      </c>
      <c r="H74" s="105"/>
      <c r="I74" s="104"/>
      <c r="J74" s="111">
        <f>SUMPRODUCT(H28:H73,I28:I73)</f>
        <v>4.0564744911804618E-2</v>
      </c>
    </row>
    <row r="75" spans="6:11" x14ac:dyDescent="0.35">
      <c r="F75" s="48" t="s">
        <v>283</v>
      </c>
      <c r="G75" s="109">
        <f>SUM(G28:G74)</f>
        <v>66330</v>
      </c>
      <c r="H75" s="46"/>
      <c r="I75" s="52"/>
    </row>
  </sheetData>
  <mergeCells count="2">
    <mergeCell ref="A1:B1"/>
    <mergeCell ref="A23:E2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FD194-E07E-460F-A38C-9237228FA29D}">
  <dimension ref="A1:V49"/>
  <sheetViews>
    <sheetView topLeftCell="G23" zoomScale="69" workbookViewId="0">
      <selection activeCell="L46" sqref="L46"/>
    </sheetView>
  </sheetViews>
  <sheetFormatPr defaultRowHeight="14.5" x14ac:dyDescent="0.35"/>
  <cols>
    <col min="1" max="1" width="9.36328125" style="12" customWidth="1"/>
    <col min="2" max="3" width="8.7265625" style="12"/>
    <col min="4" max="4" width="9.7265625" style="12" customWidth="1"/>
    <col min="5" max="5" width="8.7265625" style="12"/>
    <col min="6" max="11" width="10.7265625" style="12" customWidth="1"/>
    <col min="12" max="16" width="11.81640625" style="12" bestFit="1" customWidth="1"/>
    <col min="17" max="16384" width="8.7265625" style="12"/>
  </cols>
  <sheetData>
    <row r="1" spans="1:22" ht="21" x14ac:dyDescent="0.5">
      <c r="A1" s="472" t="s">
        <v>12</v>
      </c>
      <c r="B1" s="472"/>
      <c r="C1" s="2"/>
      <c r="D1" s="2"/>
      <c r="E1" s="2"/>
      <c r="F1" s="9" t="s">
        <v>100</v>
      </c>
      <c r="G1" s="9" t="s">
        <v>100</v>
      </c>
      <c r="H1" s="9" t="s">
        <v>100</v>
      </c>
      <c r="I1" s="9" t="s">
        <v>100</v>
      </c>
      <c r="J1" s="9" t="s">
        <v>100</v>
      </c>
      <c r="K1" s="505" t="s">
        <v>160</v>
      </c>
      <c r="L1" s="85" t="s">
        <v>100</v>
      </c>
      <c r="M1" s="85" t="s">
        <v>100</v>
      </c>
      <c r="N1" s="85" t="s">
        <v>100</v>
      </c>
      <c r="O1" s="85" t="s">
        <v>100</v>
      </c>
      <c r="P1" s="85" t="s">
        <v>100</v>
      </c>
    </row>
    <row r="2" spans="1:22" x14ac:dyDescent="0.35">
      <c r="A2" s="69" t="s">
        <v>403</v>
      </c>
      <c r="B2" s="69"/>
      <c r="C2" s="61"/>
      <c r="D2" s="61"/>
      <c r="E2" s="61"/>
      <c r="F2" s="10"/>
      <c r="G2" s="10"/>
      <c r="H2" s="10"/>
      <c r="I2" s="10"/>
      <c r="J2" s="10"/>
      <c r="K2" s="505"/>
      <c r="L2" s="86"/>
      <c r="M2" s="86"/>
      <c r="N2" s="86"/>
      <c r="O2" s="86"/>
      <c r="P2" s="86"/>
    </row>
    <row r="3" spans="1:22" x14ac:dyDescent="0.35">
      <c r="A3" s="509" t="s">
        <v>220</v>
      </c>
      <c r="B3" s="509"/>
      <c r="C3" s="509"/>
      <c r="D3" s="509"/>
      <c r="E3" s="509"/>
      <c r="F3" s="466">
        <v>43830</v>
      </c>
      <c r="G3" s="466">
        <v>44196</v>
      </c>
      <c r="H3" s="466">
        <v>44561</v>
      </c>
      <c r="I3" s="466">
        <v>44926</v>
      </c>
      <c r="J3" s="466">
        <v>45291</v>
      </c>
      <c r="K3" s="505"/>
      <c r="L3" s="464">
        <v>45657</v>
      </c>
      <c r="M3" s="464">
        <v>46022</v>
      </c>
      <c r="N3" s="464">
        <v>46387</v>
      </c>
      <c r="O3" s="464">
        <v>46752</v>
      </c>
      <c r="P3" s="464">
        <v>47118</v>
      </c>
      <c r="R3" s="58"/>
    </row>
    <row r="4" spans="1:22" x14ac:dyDescent="0.35">
      <c r="A4" s="509"/>
      <c r="B4" s="509"/>
      <c r="C4" s="509"/>
      <c r="D4" s="509"/>
      <c r="E4" s="509"/>
      <c r="F4" s="4"/>
      <c r="G4" s="4"/>
      <c r="H4" s="4"/>
      <c r="I4" s="4"/>
      <c r="J4" s="4"/>
      <c r="K4" s="130"/>
      <c r="L4" s="2"/>
      <c r="M4" s="2"/>
      <c r="N4" s="2"/>
      <c r="O4" s="2"/>
      <c r="P4" s="2"/>
    </row>
    <row r="5" spans="1:22" x14ac:dyDescent="0.35">
      <c r="A5" s="509"/>
      <c r="B5" s="509"/>
      <c r="C5" s="509"/>
      <c r="D5" s="509"/>
      <c r="E5" s="509"/>
      <c r="F5" s="8" t="s">
        <v>101</v>
      </c>
      <c r="G5" s="8" t="s">
        <v>102</v>
      </c>
      <c r="H5" s="8" t="s">
        <v>103</v>
      </c>
      <c r="I5" s="8" t="s">
        <v>104</v>
      </c>
      <c r="J5" s="8" t="s">
        <v>105</v>
      </c>
      <c r="K5" s="131"/>
      <c r="L5" s="87" t="s">
        <v>106</v>
      </c>
      <c r="M5" s="87" t="s">
        <v>107</v>
      </c>
      <c r="N5" s="87" t="s">
        <v>108</v>
      </c>
      <c r="O5" s="87" t="s">
        <v>109</v>
      </c>
      <c r="P5" s="87" t="s">
        <v>110</v>
      </c>
    </row>
    <row r="6" spans="1:22" x14ac:dyDescent="0.35">
      <c r="K6" s="130"/>
    </row>
    <row r="7" spans="1:22" x14ac:dyDescent="0.35">
      <c r="A7" s="12" t="s">
        <v>221</v>
      </c>
      <c r="F7" s="44">
        <v>4958</v>
      </c>
      <c r="G7" s="44">
        <f>F11</f>
        <v>4928</v>
      </c>
      <c r="H7" s="44">
        <f t="shared" ref="H7:J7" si="0">G11</f>
        <v>4889</v>
      </c>
      <c r="I7" s="44">
        <f t="shared" si="0"/>
        <v>5184</v>
      </c>
      <c r="J7" s="44">
        <f t="shared" si="0"/>
        <v>5427</v>
      </c>
      <c r="K7" s="144"/>
      <c r="L7" s="44">
        <f>J11</f>
        <v>5941</v>
      </c>
      <c r="M7" s="44">
        <f>L11</f>
        <v>6550.2588772171675</v>
      </c>
      <c r="N7" s="44">
        <f t="shared" ref="N7:P7" si="1">M11</f>
        <v>7221.9982088137194</v>
      </c>
      <c r="O7" s="44">
        <f t="shared" si="1"/>
        <v>7962.6254634789675</v>
      </c>
      <c r="P7" s="44">
        <f t="shared" si="1"/>
        <v>8779.2052058758745</v>
      </c>
      <c r="R7" s="103"/>
      <c r="S7" s="103"/>
      <c r="T7" s="103"/>
      <c r="U7" s="103"/>
      <c r="V7" s="103"/>
    </row>
    <row r="8" spans="1:22" x14ac:dyDescent="0.35">
      <c r="A8" s="12" t="s">
        <v>222</v>
      </c>
      <c r="F8" s="44">
        <v>618</v>
      </c>
      <c r="G8" s="44">
        <v>608</v>
      </c>
      <c r="H8" s="44">
        <v>880</v>
      </c>
      <c r="I8" s="44">
        <v>936</v>
      </c>
      <c r="J8" s="44">
        <v>1112</v>
      </c>
      <c r="K8" s="144"/>
      <c r="L8" s="44">
        <f>$K$14*L7</f>
        <v>1119.7851937655093</v>
      </c>
      <c r="M8" s="44">
        <f>$K$14*M7</f>
        <v>1234.6209234201101</v>
      </c>
      <c r="N8" s="44">
        <f>$K$14*N7</f>
        <v>1361.2332374399316</v>
      </c>
      <c r="O8" s="44">
        <f>$K$14*O7</f>
        <v>1500.8298430405614</v>
      </c>
      <c r="P8" s="44">
        <f>$K$14*P7</f>
        <v>1654.7422997086155</v>
      </c>
      <c r="R8" s="58"/>
      <c r="S8" s="58"/>
      <c r="T8" s="58"/>
      <c r="U8" s="58"/>
      <c r="V8" s="58"/>
    </row>
    <row r="9" spans="1:22" x14ac:dyDescent="0.35">
      <c r="A9" s="12" t="s">
        <v>304</v>
      </c>
      <c r="F9" s="44">
        <f>-IS!F36</f>
        <v>-635</v>
      </c>
      <c r="G9" s="44">
        <f>-IS!G36</f>
        <v>-640</v>
      </c>
      <c r="H9" s="44">
        <f>-IS!H36</f>
        <v>-644</v>
      </c>
      <c r="I9" s="44">
        <f>-IS!I36</f>
        <v>-661</v>
      </c>
      <c r="J9" s="44">
        <f>-IS!J36</f>
        <v>-685</v>
      </c>
      <c r="K9" s="146">
        <f>AVERAGE(F13:J13)</f>
        <v>-7.2304467922225404E-2</v>
      </c>
      <c r="L9" s="44">
        <f>$K$9*SUM(L7:L8)</f>
        <v>-510.52631654834238</v>
      </c>
      <c r="M9" s="44">
        <f>$K$9*SUM(M7:M8)</f>
        <v>-562.88159182355855</v>
      </c>
      <c r="N9" s="44">
        <f>$K$9*SUM(N7:N8)</f>
        <v>-620.60598277468341</v>
      </c>
      <c r="O9" s="44">
        <f>$K$9*SUM(O7:O8)</f>
        <v>-684.25010064365506</v>
      </c>
      <c r="P9" s="44">
        <f>$K$9*SUM(P7:P8)</f>
        <v>-754.4210227197176</v>
      </c>
      <c r="R9" s="58"/>
      <c r="S9" s="58"/>
      <c r="T9" s="58"/>
      <c r="U9" s="58"/>
      <c r="V9" s="58"/>
    </row>
    <row r="10" spans="1:22" x14ac:dyDescent="0.35">
      <c r="A10" s="12" t="s">
        <v>353</v>
      </c>
      <c r="F10" s="44">
        <f>F11-SUM(F7:F9)</f>
        <v>-13</v>
      </c>
      <c r="G10" s="44">
        <f t="shared" ref="G10:I10" si="2">G11-SUM(G7:G9)</f>
        <v>-7</v>
      </c>
      <c r="H10" s="44">
        <f t="shared" si="2"/>
        <v>59</v>
      </c>
      <c r="I10" s="44">
        <f t="shared" si="2"/>
        <v>-32</v>
      </c>
      <c r="J10" s="44">
        <f>J11-SUM(J7:J9)</f>
        <v>87</v>
      </c>
      <c r="K10" s="146"/>
      <c r="L10" s="44"/>
      <c r="M10" s="44"/>
      <c r="N10" s="44"/>
      <c r="O10" s="44"/>
      <c r="P10" s="44"/>
      <c r="R10" s="58"/>
      <c r="S10" s="58"/>
      <c r="T10" s="58"/>
      <c r="U10" s="58"/>
      <c r="V10" s="58"/>
    </row>
    <row r="11" spans="1:22" s="48" customFormat="1" x14ac:dyDescent="0.35">
      <c r="A11" s="48" t="s">
        <v>223</v>
      </c>
      <c r="F11" s="47">
        <f>BS!F18</f>
        <v>4928</v>
      </c>
      <c r="G11" s="47">
        <f>BS!G18</f>
        <v>4889</v>
      </c>
      <c r="H11" s="47">
        <f>BS!H18</f>
        <v>5184</v>
      </c>
      <c r="I11" s="47">
        <f>BS!I18</f>
        <v>5427</v>
      </c>
      <c r="J11" s="47">
        <f>BS!J18</f>
        <v>5941</v>
      </c>
      <c r="K11" s="147"/>
      <c r="L11" s="47">
        <f>SUM(L7:L10)</f>
        <v>6550.2588772171675</v>
      </c>
      <c r="M11" s="47">
        <f t="shared" ref="M11:P11" si="3">SUM(M7:M10)</f>
        <v>7221.9982088137194</v>
      </c>
      <c r="N11" s="47">
        <f t="shared" si="3"/>
        <v>7962.6254634789675</v>
      </c>
      <c r="O11" s="47">
        <f t="shared" si="3"/>
        <v>8779.2052058758745</v>
      </c>
      <c r="P11" s="47">
        <f t="shared" si="3"/>
        <v>9679.5264828647723</v>
      </c>
      <c r="R11" s="110"/>
      <c r="S11" s="110"/>
      <c r="T11" s="110"/>
      <c r="U11" s="110"/>
      <c r="V11" s="110"/>
    </row>
    <row r="12" spans="1:22" s="48" customFormat="1" x14ac:dyDescent="0.35">
      <c r="F12" s="47"/>
      <c r="G12" s="47"/>
      <c r="H12" s="47"/>
      <c r="I12" s="47"/>
      <c r="J12" s="47"/>
      <c r="K12" s="147"/>
      <c r="L12" s="47"/>
      <c r="M12" s="47"/>
      <c r="N12" s="47"/>
      <c r="O12" s="47"/>
      <c r="P12" s="47"/>
      <c r="R12" s="110"/>
      <c r="S12" s="110"/>
      <c r="T12" s="110"/>
      <c r="U12" s="110"/>
      <c r="V12" s="110"/>
    </row>
    <row r="13" spans="1:22" x14ac:dyDescent="0.35">
      <c r="A13" s="49" t="s">
        <v>306</v>
      </c>
      <c r="B13" s="49"/>
      <c r="C13" s="49"/>
      <c r="D13" s="49"/>
      <c r="E13" s="49"/>
      <c r="F13" s="53">
        <f>F9/F18</f>
        <v>-7.5984204858202703E-2</v>
      </c>
      <c r="G13" s="53">
        <f>G9/G18</f>
        <v>-7.1293305113066724E-2</v>
      </c>
      <c r="H13" s="53">
        <f>H9/H18</f>
        <v>-7.3198454194135038E-2</v>
      </c>
      <c r="I13" s="53">
        <f>I9/I18</f>
        <v>-7.1205429279327798E-2</v>
      </c>
      <c r="J13" s="53">
        <f>J9/J18</f>
        <v>-6.9840946166394774E-2</v>
      </c>
      <c r="K13" s="130"/>
    </row>
    <row r="14" spans="1:22" s="49" customFormat="1" x14ac:dyDescent="0.35">
      <c r="A14" s="49" t="s">
        <v>356</v>
      </c>
      <c r="F14" s="349">
        <f>F8/F7</f>
        <v>0.12464703509479629</v>
      </c>
      <c r="G14" s="349">
        <f t="shared" ref="G14:J14" si="4">G8/G7</f>
        <v>0.12337662337662338</v>
      </c>
      <c r="H14" s="349">
        <f t="shared" si="4"/>
        <v>0.1799959091838822</v>
      </c>
      <c r="I14" s="349">
        <f t="shared" si="4"/>
        <v>0.18055555555555555</v>
      </c>
      <c r="J14" s="349">
        <f t="shared" si="4"/>
        <v>0.2049014188317671</v>
      </c>
      <c r="K14" s="350">
        <f>AVERAGE(H14:J14)</f>
        <v>0.18848429452373497</v>
      </c>
      <c r="L14" s="51"/>
      <c r="M14" s="51"/>
      <c r="N14" s="51"/>
      <c r="O14" s="51"/>
      <c r="P14" s="51"/>
    </row>
    <row r="15" spans="1:22" s="49" customFormat="1" x14ac:dyDescent="0.35">
      <c r="A15" s="49" t="s">
        <v>219</v>
      </c>
      <c r="F15" s="50">
        <f>IS!F8/'FA Schedule'!F17</f>
        <v>1.6713586751975913</v>
      </c>
      <c r="G15" s="50">
        <f>IS!G8/'FA Schedule'!G17</f>
        <v>1.7481609692773692</v>
      </c>
      <c r="H15" s="50">
        <f>IS!H8/'FA Schedule'!H17</f>
        <v>1.7377342297239309</v>
      </c>
      <c r="I15" s="50">
        <f>IS!I8/'FA Schedule'!I17</f>
        <v>1.6859959211420803</v>
      </c>
      <c r="J15" s="50">
        <f>IS!J8/'FA Schedule'!J17</f>
        <v>1.7086799161851547</v>
      </c>
      <c r="K15" s="345">
        <f>AVERAGE(F15:J15)</f>
        <v>1.7103859423052252</v>
      </c>
      <c r="L15" s="51"/>
      <c r="M15" s="51"/>
      <c r="N15" s="51"/>
      <c r="O15" s="51"/>
      <c r="P15" s="51"/>
    </row>
    <row r="16" spans="1:22" x14ac:dyDescent="0.35">
      <c r="G16" s="58"/>
      <c r="H16" s="58"/>
      <c r="K16" s="345"/>
    </row>
    <row r="17" spans="1:22" x14ac:dyDescent="0.35">
      <c r="A17" s="12" t="s">
        <v>354</v>
      </c>
      <c r="F17" s="44">
        <f>F18+F11</f>
        <v>13285</v>
      </c>
      <c r="G17" s="44">
        <v>13866</v>
      </c>
      <c r="H17" s="44">
        <v>13982</v>
      </c>
      <c r="I17" s="44">
        <v>14710</v>
      </c>
      <c r="J17" s="44">
        <v>15749</v>
      </c>
      <c r="K17" s="343">
        <f>K15</f>
        <v>1.7103859423052252</v>
      </c>
      <c r="L17" s="44">
        <f>IS!L8/'FA Schedule'!$K$17</f>
        <v>17847.764635631309</v>
      </c>
      <c r="M17" s="44">
        <f>IS!M8/'FA Schedule'!$K$17</f>
        <v>18696.552979520642</v>
      </c>
      <c r="N17" s="44">
        <f>IS!N8/'FA Schedule'!$K$17</f>
        <v>19551.377415498555</v>
      </c>
      <c r="O17" s="44">
        <f>IS!O8/'FA Schedule'!$K$17</f>
        <v>20188.702502833141</v>
      </c>
      <c r="P17" s="44">
        <f>IS!P8/'FA Schedule'!$K$17</f>
        <v>20919.285357613018</v>
      </c>
      <c r="R17" s="103"/>
      <c r="S17" s="103"/>
      <c r="T17" s="103"/>
      <c r="U17" s="103"/>
      <c r="V17" s="103"/>
    </row>
    <row r="18" spans="1:22" x14ac:dyDescent="0.35">
      <c r="A18" s="12" t="s">
        <v>305</v>
      </c>
      <c r="F18" s="351">
        <v>8357</v>
      </c>
      <c r="G18" s="351">
        <v>8977</v>
      </c>
      <c r="H18" s="351">
        <v>8798</v>
      </c>
      <c r="I18" s="351">
        <v>9283</v>
      </c>
      <c r="J18" s="351">
        <v>9808</v>
      </c>
      <c r="K18" s="352"/>
      <c r="L18" s="351">
        <f>L17-L19</f>
        <v>11297.505758414141</v>
      </c>
      <c r="M18" s="351">
        <f t="shared" ref="M18:P18" si="5">M17-M19</f>
        <v>11474.554770706924</v>
      </c>
      <c r="N18" s="351">
        <f t="shared" si="5"/>
        <v>11588.751952019587</v>
      </c>
      <c r="O18" s="351">
        <f t="shared" si="5"/>
        <v>11409.497296957266</v>
      </c>
      <c r="P18" s="351">
        <f t="shared" si="5"/>
        <v>11239.758874748246</v>
      </c>
      <c r="R18" s="58"/>
      <c r="S18" s="58"/>
      <c r="T18" s="58"/>
      <c r="U18" s="58"/>
      <c r="V18" s="58"/>
    </row>
    <row r="19" spans="1:22" x14ac:dyDescent="0.35">
      <c r="A19" s="12" t="s">
        <v>355</v>
      </c>
      <c r="F19" s="44">
        <f>F17-F18</f>
        <v>4928</v>
      </c>
      <c r="G19" s="44">
        <f t="shared" ref="G19:J19" si="6">G17-G18</f>
        <v>4889</v>
      </c>
      <c r="H19" s="44">
        <f t="shared" si="6"/>
        <v>5184</v>
      </c>
      <c r="I19" s="44">
        <f t="shared" si="6"/>
        <v>5427</v>
      </c>
      <c r="J19" s="44">
        <f t="shared" si="6"/>
        <v>5941</v>
      </c>
      <c r="K19" s="145"/>
      <c r="L19" s="44">
        <f>L11</f>
        <v>6550.2588772171675</v>
      </c>
      <c r="M19" s="44">
        <f t="shared" ref="M19:P19" si="7">M11</f>
        <v>7221.9982088137194</v>
      </c>
      <c r="N19" s="44">
        <f t="shared" si="7"/>
        <v>7962.6254634789675</v>
      </c>
      <c r="O19" s="44">
        <f t="shared" si="7"/>
        <v>8779.2052058758745</v>
      </c>
      <c r="P19" s="44">
        <f t="shared" si="7"/>
        <v>9679.5264828647723</v>
      </c>
      <c r="R19" s="58"/>
      <c r="S19" s="58"/>
      <c r="T19" s="58"/>
      <c r="U19" s="58"/>
      <c r="V19" s="58"/>
    </row>
    <row r="20" spans="1:22" x14ac:dyDescent="0.35">
      <c r="A20" s="45"/>
      <c r="B20" s="45"/>
      <c r="C20" s="45"/>
      <c r="D20" s="45"/>
      <c r="E20" s="45"/>
      <c r="K20" s="145"/>
      <c r="R20" s="110"/>
      <c r="S20" s="110"/>
      <c r="T20" s="110"/>
      <c r="U20" s="110"/>
      <c r="V20" s="110"/>
    </row>
    <row r="21" spans="1:22" s="49" customFormat="1" x14ac:dyDescent="0.35">
      <c r="F21" s="53"/>
      <c r="G21" s="53"/>
      <c r="H21" s="53"/>
      <c r="I21" s="53"/>
      <c r="J21" s="53"/>
      <c r="K21" s="148"/>
      <c r="L21" s="53"/>
      <c r="M21" s="53"/>
      <c r="N21" s="53"/>
      <c r="O21" s="53"/>
      <c r="P21" s="53"/>
    </row>
    <row r="22" spans="1:22" x14ac:dyDescent="0.35">
      <c r="K22" s="130"/>
    </row>
    <row r="23" spans="1:22" x14ac:dyDescent="0.35">
      <c r="J23" s="58"/>
      <c r="K23" s="130"/>
    </row>
    <row r="24" spans="1:22" x14ac:dyDescent="0.35">
      <c r="I24" s="58"/>
      <c r="J24" s="58"/>
      <c r="K24" s="130"/>
    </row>
    <row r="25" spans="1:22" x14ac:dyDescent="0.35">
      <c r="A25" s="510" t="s">
        <v>225</v>
      </c>
      <c r="B25" s="510"/>
      <c r="C25" s="510"/>
      <c r="D25" s="510"/>
      <c r="E25" s="510"/>
      <c r="F25" s="9" t="s">
        <v>100</v>
      </c>
      <c r="G25" s="9" t="s">
        <v>100</v>
      </c>
      <c r="H25" s="9" t="s">
        <v>100</v>
      </c>
      <c r="I25" s="9" t="s">
        <v>100</v>
      </c>
      <c r="J25" s="9" t="s">
        <v>100</v>
      </c>
      <c r="K25" s="505" t="s">
        <v>160</v>
      </c>
      <c r="L25" s="62" t="s">
        <v>100</v>
      </c>
      <c r="M25" s="62" t="s">
        <v>100</v>
      </c>
      <c r="N25" s="62" t="s">
        <v>100</v>
      </c>
      <c r="O25" s="62" t="s">
        <v>100</v>
      </c>
      <c r="P25" s="62" t="s">
        <v>100</v>
      </c>
    </row>
    <row r="26" spans="1:22" x14ac:dyDescent="0.35">
      <c r="A26" s="510"/>
      <c r="B26" s="510"/>
      <c r="C26" s="510"/>
      <c r="D26" s="510"/>
      <c r="E26" s="510"/>
      <c r="F26" s="10"/>
      <c r="G26" s="10"/>
      <c r="H26" s="10"/>
      <c r="I26" s="10"/>
      <c r="J26" s="10"/>
      <c r="K26" s="505"/>
      <c r="L26" s="63"/>
      <c r="M26" s="63"/>
      <c r="N26" s="63"/>
      <c r="O26" s="63"/>
      <c r="P26" s="63"/>
    </row>
    <row r="27" spans="1:22" ht="14.5" customHeight="1" x14ac:dyDescent="0.35">
      <c r="A27" s="510"/>
      <c r="B27" s="510"/>
      <c r="C27" s="510"/>
      <c r="D27" s="510"/>
      <c r="E27" s="510"/>
      <c r="F27" s="466">
        <v>43830</v>
      </c>
      <c r="G27" s="466">
        <v>44196</v>
      </c>
      <c r="H27" s="466">
        <v>44561</v>
      </c>
      <c r="I27" s="466">
        <v>44926</v>
      </c>
      <c r="J27" s="466">
        <v>45291</v>
      </c>
      <c r="K27" s="505"/>
      <c r="L27" s="469">
        <v>45657</v>
      </c>
      <c r="M27" s="469">
        <v>46022</v>
      </c>
      <c r="N27" s="469">
        <v>46387</v>
      </c>
      <c r="O27" s="469">
        <v>46752</v>
      </c>
      <c r="P27" s="469">
        <v>47118</v>
      </c>
    </row>
    <row r="28" spans="1:22" ht="14.5" customHeight="1" x14ac:dyDescent="0.35">
      <c r="A28" s="510"/>
      <c r="B28" s="510"/>
      <c r="C28" s="510"/>
      <c r="D28" s="510"/>
      <c r="E28" s="510"/>
      <c r="F28" s="3"/>
      <c r="G28" s="3"/>
      <c r="H28" s="3"/>
      <c r="I28" s="3"/>
      <c r="J28" s="3"/>
      <c r="K28" s="130"/>
      <c r="L28" s="2"/>
      <c r="M28" s="2"/>
      <c r="N28" s="2"/>
      <c r="O28" s="2"/>
      <c r="P28" s="2"/>
    </row>
    <row r="29" spans="1:22" ht="14.5" customHeight="1" x14ac:dyDescent="0.35">
      <c r="A29" s="510"/>
      <c r="B29" s="510"/>
      <c r="C29" s="510"/>
      <c r="D29" s="510"/>
      <c r="E29" s="510"/>
      <c r="F29" s="8" t="s">
        <v>101</v>
      </c>
      <c r="G29" s="8" t="s">
        <v>102</v>
      </c>
      <c r="H29" s="8" t="s">
        <v>103</v>
      </c>
      <c r="I29" s="8" t="s">
        <v>104</v>
      </c>
      <c r="J29" s="8" t="s">
        <v>105</v>
      </c>
      <c r="K29" s="131"/>
      <c r="L29" s="64" t="s">
        <v>106</v>
      </c>
      <c r="M29" s="64" t="s">
        <v>107</v>
      </c>
      <c r="N29" s="64" t="s">
        <v>108</v>
      </c>
      <c r="O29" s="64" t="s">
        <v>109</v>
      </c>
      <c r="P29" s="64" t="s">
        <v>110</v>
      </c>
    </row>
    <row r="30" spans="1:22" x14ac:dyDescent="0.35">
      <c r="K30" s="130"/>
    </row>
    <row r="31" spans="1:22" x14ac:dyDescent="0.35">
      <c r="K31" s="130"/>
    </row>
    <row r="32" spans="1:22" x14ac:dyDescent="0.35">
      <c r="A32" s="12" t="s">
        <v>221</v>
      </c>
      <c r="F32" s="54">
        <v>7443</v>
      </c>
      <c r="G32" s="54">
        <f>F35</f>
        <v>19413</v>
      </c>
      <c r="H32" s="54">
        <f t="shared" ref="H32:J32" si="8">G35</f>
        <v>16587</v>
      </c>
      <c r="I32" s="54">
        <f t="shared" si="8"/>
        <v>15182</v>
      </c>
      <c r="J32" s="54">
        <f t="shared" si="8"/>
        <v>16080</v>
      </c>
      <c r="K32" s="149"/>
      <c r="L32" s="54">
        <f>J35</f>
        <v>32641</v>
      </c>
      <c r="M32" s="54">
        <f>L35</f>
        <v>31105.1</v>
      </c>
      <c r="N32" s="54">
        <f t="shared" ref="N32:P32" si="9">M35</f>
        <v>29715.61</v>
      </c>
      <c r="O32" s="54">
        <f t="shared" si="9"/>
        <v>28787.171000000002</v>
      </c>
      <c r="P32" s="54">
        <f t="shared" si="9"/>
        <v>27765.888100000004</v>
      </c>
    </row>
    <row r="33" spans="1:22" x14ac:dyDescent="0.35">
      <c r="A33" s="12" t="s">
        <v>222</v>
      </c>
      <c r="F33" s="54">
        <f>F35-F32-F34</f>
        <v>13370</v>
      </c>
      <c r="G33" s="54">
        <f t="shared" ref="G33:I33" si="10">G35-G32-G34</f>
        <v>-26</v>
      </c>
      <c r="H33" s="54">
        <f t="shared" si="10"/>
        <v>1195</v>
      </c>
      <c r="I33" s="54">
        <f t="shared" si="10"/>
        <v>3498</v>
      </c>
      <c r="J33" s="54">
        <f>J35-J32-J34</f>
        <v>19761</v>
      </c>
      <c r="K33" s="225">
        <v>0.1</v>
      </c>
      <c r="L33" s="54">
        <f>$K$33*L32</f>
        <v>3264.1000000000004</v>
      </c>
      <c r="M33" s="54">
        <f>$K$33*M32</f>
        <v>3110.51</v>
      </c>
      <c r="N33" s="54">
        <f>$K$33*N32</f>
        <v>2971.5610000000001</v>
      </c>
      <c r="O33" s="54">
        <f>$K$33*O32</f>
        <v>2878.7171000000003</v>
      </c>
      <c r="P33" s="54">
        <f>$K$33*P32</f>
        <v>2776.5888100000006</v>
      </c>
    </row>
    <row r="34" spans="1:22" x14ac:dyDescent="0.35">
      <c r="A34" s="12" t="s">
        <v>302</v>
      </c>
      <c r="F34" s="54">
        <f>-1400</f>
        <v>-1400</v>
      </c>
      <c r="G34" s="54">
        <v>-2800</v>
      </c>
      <c r="H34" s="54">
        <v>-2600</v>
      </c>
      <c r="I34" s="54">
        <v>-2600</v>
      </c>
      <c r="J34" s="54">
        <v>-3200</v>
      </c>
      <c r="K34" s="149"/>
      <c r="L34" s="54">
        <v>-4800</v>
      </c>
      <c r="M34" s="54">
        <v>-4500</v>
      </c>
      <c r="N34" s="54">
        <v>-3900</v>
      </c>
      <c r="O34" s="54">
        <v>-3900</v>
      </c>
      <c r="P34" s="54">
        <v>-2900</v>
      </c>
      <c r="R34" s="58"/>
      <c r="S34" s="58"/>
      <c r="T34" s="58"/>
      <c r="U34" s="58"/>
      <c r="V34" s="58"/>
    </row>
    <row r="35" spans="1:22" x14ac:dyDescent="0.35">
      <c r="A35" s="48" t="s">
        <v>223</v>
      </c>
      <c r="F35" s="57">
        <f>BS!F19</f>
        <v>19413</v>
      </c>
      <c r="G35" s="57">
        <f>BS!G19</f>
        <v>16587</v>
      </c>
      <c r="H35" s="57">
        <f>BS!H19</f>
        <v>15182</v>
      </c>
      <c r="I35" s="57">
        <f>BS!I19</f>
        <v>16080</v>
      </c>
      <c r="J35" s="57">
        <f>BS!J19</f>
        <v>32641</v>
      </c>
      <c r="K35" s="150"/>
      <c r="L35" s="65">
        <f>SUM(L32:L34)</f>
        <v>31105.1</v>
      </c>
      <c r="M35" s="65">
        <f>SUM(M32:M34)</f>
        <v>29715.61</v>
      </c>
      <c r="N35" s="65">
        <f>SUM(N32:N34)</f>
        <v>28787.171000000002</v>
      </c>
      <c r="O35" s="65">
        <f>SUM(O32:O34)</f>
        <v>27765.888100000004</v>
      </c>
      <c r="P35" s="65">
        <f>SUM(P32:P34)</f>
        <v>27642.476910000005</v>
      </c>
      <c r="R35" s="58"/>
      <c r="S35" s="58"/>
      <c r="T35" s="58"/>
      <c r="U35" s="58"/>
      <c r="V35" s="58"/>
    </row>
    <row r="36" spans="1:22" x14ac:dyDescent="0.35">
      <c r="F36" s="200">
        <f t="shared" ref="F36" si="11">-F34/(F32+F33)</f>
        <v>6.726565127564503E-2</v>
      </c>
      <c r="G36" s="200">
        <f t="shared" ref="G36:I36" si="12">-G34/AVERAGE(G32+G33,F32+F33)</f>
        <v>0.13930348258706468</v>
      </c>
      <c r="H36" s="200">
        <f t="shared" si="12"/>
        <v>0.13990153084559714</v>
      </c>
      <c r="I36" s="200">
        <f t="shared" si="12"/>
        <v>0.14261422851187538</v>
      </c>
      <c r="J36" s="200">
        <f>-J34/AVERAGE(J32+J33,I32+I33)</f>
        <v>0.11738596137268209</v>
      </c>
      <c r="K36" s="151"/>
      <c r="L36" s="200">
        <f>-L34/AVERAGE(L32+L33,J32+J33)</f>
        <v>0.13380518244197245</v>
      </c>
      <c r="M36" s="200">
        <f t="shared" ref="M36:P36" si="13">-M34/AVERAGE(M32+M33,L32+L33)</f>
        <v>0.12835009799529984</v>
      </c>
      <c r="N36" s="200">
        <f t="shared" si="13"/>
        <v>0.11658708178364065</v>
      </c>
      <c r="O36" s="200">
        <f t="shared" si="13"/>
        <v>0.12120635924827386</v>
      </c>
      <c r="P36" s="200">
        <f t="shared" si="13"/>
        <v>9.323504964433077E-2</v>
      </c>
    </row>
    <row r="37" spans="1:22" x14ac:dyDescent="0.35">
      <c r="F37" s="200"/>
      <c r="G37" s="200"/>
      <c r="H37" s="200"/>
      <c r="I37" s="200"/>
      <c r="J37" s="200"/>
      <c r="K37" s="151"/>
      <c r="L37" s="200"/>
      <c r="M37" s="200"/>
      <c r="N37" s="200"/>
      <c r="O37" s="200"/>
      <c r="P37" s="200"/>
    </row>
    <row r="38" spans="1:22" x14ac:dyDescent="0.35">
      <c r="F38" s="59"/>
      <c r="G38" s="59"/>
      <c r="H38" s="59"/>
      <c r="I38" s="59"/>
      <c r="J38" s="59"/>
      <c r="K38" s="151"/>
      <c r="L38" s="58"/>
      <c r="M38" s="58"/>
      <c r="N38" s="58"/>
      <c r="O38" s="58"/>
      <c r="P38" s="58"/>
      <c r="R38" s="344"/>
      <c r="S38" s="344"/>
      <c r="T38" s="344"/>
      <c r="U38" s="344"/>
      <c r="V38" s="344"/>
    </row>
    <row r="39" spans="1:22" x14ac:dyDescent="0.35">
      <c r="A39" s="12" t="s">
        <v>358</v>
      </c>
      <c r="F39" s="54">
        <v>31991</v>
      </c>
      <c r="G39" s="54">
        <v>32018</v>
      </c>
      <c r="H39" s="54">
        <v>32099</v>
      </c>
      <c r="I39" s="54">
        <v>35596</v>
      </c>
      <c r="J39" s="54">
        <v>55229</v>
      </c>
      <c r="K39" s="149"/>
      <c r="L39" s="54">
        <f>L42+L41-L40</f>
        <v>58493.1</v>
      </c>
      <c r="M39" s="54">
        <f>M42+M41-M40</f>
        <v>61603.61</v>
      </c>
      <c r="N39" s="54">
        <f t="shared" ref="N39:P39" si="14">N42+N41-N40</f>
        <v>64575.171000000002</v>
      </c>
      <c r="O39" s="54">
        <f t="shared" si="14"/>
        <v>67453.888100000011</v>
      </c>
      <c r="P39" s="54">
        <f t="shared" si="14"/>
        <v>70230.476909999998</v>
      </c>
    </row>
    <row r="40" spans="1:22" x14ac:dyDescent="0.35">
      <c r="A40" s="12" t="s">
        <v>226</v>
      </c>
      <c r="F40" s="58">
        <f>54</f>
        <v>54</v>
      </c>
      <c r="G40" s="58">
        <v>30</v>
      </c>
      <c r="H40" s="58">
        <v>1070</v>
      </c>
      <c r="I40" s="58">
        <v>1009</v>
      </c>
      <c r="J40" s="58">
        <v>1218</v>
      </c>
      <c r="K40" s="151"/>
      <c r="L40" s="58">
        <f>J40</f>
        <v>1218</v>
      </c>
      <c r="M40" s="58">
        <f>L40</f>
        <v>1218</v>
      </c>
      <c r="N40" s="58">
        <f t="shared" ref="N40:P40" si="15">M40</f>
        <v>1218</v>
      </c>
      <c r="O40" s="58">
        <f t="shared" si="15"/>
        <v>1218</v>
      </c>
      <c r="P40" s="58">
        <f t="shared" si="15"/>
        <v>1218</v>
      </c>
    </row>
    <row r="41" spans="1:22" x14ac:dyDescent="0.35">
      <c r="A41" s="12" t="s">
        <v>303</v>
      </c>
      <c r="B41" s="45"/>
      <c r="C41" s="45"/>
      <c r="D41" s="45"/>
      <c r="E41" s="45"/>
      <c r="F41" s="55">
        <v>12632</v>
      </c>
      <c r="G41" s="55">
        <v>15461</v>
      </c>
      <c r="H41" s="55">
        <v>17987</v>
      </c>
      <c r="I41" s="55">
        <v>20525</v>
      </c>
      <c r="J41" s="55">
        <v>23806</v>
      </c>
      <c r="K41" s="468"/>
      <c r="L41" s="55">
        <f>J41-L34</f>
        <v>28606</v>
      </c>
      <c r="M41" s="55">
        <f>L41-M34</f>
        <v>33106</v>
      </c>
      <c r="N41" s="55">
        <f t="shared" ref="N41:P41" si="16">M41-N34</f>
        <v>37006</v>
      </c>
      <c r="O41" s="55">
        <f t="shared" si="16"/>
        <v>40906</v>
      </c>
      <c r="P41" s="55">
        <f t="shared" si="16"/>
        <v>43806</v>
      </c>
      <c r="R41" s="58"/>
      <c r="S41" s="58"/>
      <c r="T41" s="58"/>
      <c r="U41" s="58"/>
      <c r="V41" s="58"/>
    </row>
    <row r="42" spans="1:22" x14ac:dyDescent="0.35">
      <c r="A42" s="12" t="s">
        <v>357</v>
      </c>
      <c r="F42" s="54">
        <f t="shared" ref="F42:I42" si="17">F39+F40-F41</f>
        <v>19413</v>
      </c>
      <c r="G42" s="54">
        <f t="shared" si="17"/>
        <v>16587</v>
      </c>
      <c r="H42" s="54">
        <f t="shared" si="17"/>
        <v>15182</v>
      </c>
      <c r="I42" s="54">
        <f t="shared" si="17"/>
        <v>16080</v>
      </c>
      <c r="J42" s="54">
        <f>J39+J40-J41</f>
        <v>32641</v>
      </c>
      <c r="K42" s="149"/>
      <c r="L42" s="54">
        <f>L35</f>
        <v>31105.1</v>
      </c>
      <c r="M42" s="54">
        <f t="shared" ref="M42:P42" si="18">M35</f>
        <v>29715.61</v>
      </c>
      <c r="N42" s="54">
        <f t="shared" si="18"/>
        <v>28787.171000000002</v>
      </c>
      <c r="O42" s="54">
        <f t="shared" si="18"/>
        <v>27765.888100000004</v>
      </c>
      <c r="P42" s="54">
        <f t="shared" si="18"/>
        <v>27642.476910000005</v>
      </c>
    </row>
    <row r="43" spans="1:22" x14ac:dyDescent="0.35">
      <c r="F43" s="59"/>
      <c r="G43" s="59"/>
      <c r="H43" s="59"/>
      <c r="I43" s="59"/>
      <c r="J43" s="59"/>
      <c r="K43" s="151"/>
      <c r="L43" s="59"/>
      <c r="M43" s="59"/>
      <c r="N43" s="59"/>
      <c r="O43" s="59"/>
      <c r="P43" s="59"/>
    </row>
    <row r="44" spans="1:22" x14ac:dyDescent="0.35">
      <c r="F44" s="58"/>
      <c r="G44" s="58"/>
      <c r="H44" s="58"/>
      <c r="I44" s="58"/>
      <c r="J44" s="58"/>
      <c r="K44" s="151"/>
      <c r="L44" s="58"/>
      <c r="M44" s="58"/>
      <c r="N44" s="58"/>
      <c r="O44" s="58"/>
      <c r="P44" s="58"/>
    </row>
    <row r="45" spans="1:22" x14ac:dyDescent="0.35">
      <c r="L45" s="58"/>
    </row>
    <row r="47" spans="1:22" x14ac:dyDescent="0.35">
      <c r="F47" s="60"/>
      <c r="G47" s="60"/>
      <c r="H47" s="60"/>
      <c r="I47" s="60"/>
      <c r="J47" s="60"/>
    </row>
    <row r="49" spans="12:12" x14ac:dyDescent="0.35">
      <c r="L49" s="58"/>
    </row>
  </sheetData>
  <mergeCells count="5">
    <mergeCell ref="K1:K3"/>
    <mergeCell ref="A3:E5"/>
    <mergeCell ref="K25:K27"/>
    <mergeCell ref="A25:E29"/>
    <mergeCell ref="A1:B1"/>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714C0-CCCD-4FEC-A196-BCD15661A989}">
  <dimension ref="A1:AB388"/>
  <sheetViews>
    <sheetView zoomScale="99" zoomScaleNormal="99" workbookViewId="0">
      <pane xSplit="4" topLeftCell="E1" activePane="topRight" state="frozen"/>
      <selection pane="topRight" activeCell="E7" sqref="E7"/>
    </sheetView>
  </sheetViews>
  <sheetFormatPr defaultRowHeight="14.5" x14ac:dyDescent="0.35"/>
  <cols>
    <col min="1" max="1" width="14.54296875" style="12" bestFit="1" customWidth="1"/>
    <col min="2" max="2" width="10.08984375" style="12" bestFit="1" customWidth="1"/>
    <col min="3" max="3" width="18.7265625" style="12" bestFit="1" customWidth="1"/>
    <col min="4" max="4" width="8.81640625" style="12" bestFit="1" customWidth="1"/>
    <col min="5" max="5" width="8.7265625" style="12"/>
    <col min="6" max="6" width="10.08984375" style="12" bestFit="1" customWidth="1"/>
    <col min="7" max="8" width="8.81640625" style="12" bestFit="1" customWidth="1"/>
    <col min="9" max="9" width="8.7265625" style="12"/>
    <col min="10" max="10" width="10.08984375" style="12" bestFit="1" customWidth="1"/>
    <col min="11" max="12" width="8.81640625" style="12" bestFit="1" customWidth="1"/>
    <col min="13" max="13" width="8.7265625" style="12"/>
    <col min="14" max="14" width="10.08984375" style="12" bestFit="1" customWidth="1"/>
    <col min="15" max="16" width="8.81640625" style="12" bestFit="1" customWidth="1"/>
    <col min="17" max="17" width="8.7265625" style="12"/>
    <col min="18" max="18" width="10.08984375" style="12" bestFit="1" customWidth="1"/>
    <col min="19" max="20" width="8.81640625" style="12" bestFit="1" customWidth="1"/>
    <col min="21" max="21" width="8.7265625" style="12"/>
    <col min="22" max="22" width="10.08984375" style="12" bestFit="1" customWidth="1"/>
    <col min="23" max="24" width="8.81640625" style="12" bestFit="1" customWidth="1"/>
    <col min="25" max="25" width="8.7265625" style="12"/>
    <col min="26" max="26" width="10.08984375" style="12" bestFit="1" customWidth="1"/>
    <col min="27" max="16384" width="8.7265625" style="12"/>
  </cols>
  <sheetData>
    <row r="1" spans="1:28" ht="21" x14ac:dyDescent="0.5">
      <c r="A1" s="67" t="s">
        <v>12</v>
      </c>
      <c r="B1" s="2"/>
      <c r="C1" s="2"/>
      <c r="D1" s="2"/>
    </row>
    <row r="2" spans="1:28" ht="31" x14ac:dyDescent="0.7">
      <c r="A2" s="2"/>
      <c r="B2" s="68" t="s">
        <v>287</v>
      </c>
      <c r="C2" s="2"/>
      <c r="D2" s="2"/>
    </row>
    <row r="3" spans="1:28" x14ac:dyDescent="0.35">
      <c r="A3" s="2"/>
      <c r="B3" s="511" t="s">
        <v>300</v>
      </c>
      <c r="C3" s="511"/>
      <c r="D3" s="511"/>
      <c r="E3" s="48"/>
    </row>
    <row r="5" spans="1:28" ht="15.5" x14ac:dyDescent="0.35">
      <c r="C5" s="70" t="s">
        <v>288</v>
      </c>
      <c r="D5" s="71" t="s">
        <v>289</v>
      </c>
    </row>
    <row r="6" spans="1:28" ht="15.5" x14ac:dyDescent="0.35">
      <c r="A6" s="1" t="s">
        <v>290</v>
      </c>
      <c r="B6" s="1"/>
      <c r="C6" s="42" t="s">
        <v>299</v>
      </c>
      <c r="D6" s="43">
        <f>B386</f>
        <v>0.65923165891289892</v>
      </c>
    </row>
    <row r="7" spans="1:28" x14ac:dyDescent="0.35">
      <c r="C7" s="15" t="s">
        <v>295</v>
      </c>
      <c r="D7" s="16">
        <f>F386</f>
        <v>0.75986650941682876</v>
      </c>
    </row>
    <row r="8" spans="1:28" x14ac:dyDescent="0.35">
      <c r="C8" s="17" t="s">
        <v>312</v>
      </c>
      <c r="D8" s="18">
        <f>J386</f>
        <v>0.58850520096136949</v>
      </c>
    </row>
    <row r="9" spans="1:28" x14ac:dyDescent="0.35">
      <c r="C9" s="17" t="s">
        <v>297</v>
      </c>
      <c r="D9" s="18">
        <f>N386</f>
        <v>0.63558083885568717</v>
      </c>
    </row>
    <row r="10" spans="1:28" x14ac:dyDescent="0.35">
      <c r="C10" s="17" t="s">
        <v>311</v>
      </c>
      <c r="D10" s="18">
        <f>R386</f>
        <v>0.64347097704068723</v>
      </c>
    </row>
    <row r="11" spans="1:28" x14ac:dyDescent="0.35">
      <c r="C11" s="19" t="s">
        <v>296</v>
      </c>
      <c r="D11" s="20">
        <f>V386</f>
        <v>0.5339692449104223</v>
      </c>
    </row>
    <row r="14" spans="1:28" ht="18.5" x14ac:dyDescent="0.45">
      <c r="B14" s="512" t="s">
        <v>301</v>
      </c>
      <c r="C14" s="513"/>
      <c r="D14" s="514"/>
      <c r="F14" s="512" t="s">
        <v>295</v>
      </c>
      <c r="G14" s="513"/>
      <c r="H14" s="514"/>
      <c r="J14" s="512" t="s">
        <v>312</v>
      </c>
      <c r="K14" s="513"/>
      <c r="L14" s="514"/>
      <c r="N14" s="512" t="s">
        <v>297</v>
      </c>
      <c r="O14" s="513"/>
      <c r="P14" s="514"/>
      <c r="R14" s="512" t="s">
        <v>311</v>
      </c>
      <c r="S14" s="513"/>
      <c r="T14" s="514"/>
      <c r="V14" s="512" t="s">
        <v>296</v>
      </c>
      <c r="W14" s="513"/>
      <c r="X14" s="514"/>
      <c r="Z14" s="512" t="s">
        <v>298</v>
      </c>
      <c r="AA14" s="513"/>
      <c r="AB14" s="514"/>
    </row>
    <row r="15" spans="1:28" x14ac:dyDescent="0.35">
      <c r="B15" s="21" t="s">
        <v>291</v>
      </c>
      <c r="C15" s="22" t="s">
        <v>292</v>
      </c>
      <c r="D15" s="22" t="s">
        <v>293</v>
      </c>
      <c r="F15" s="21" t="s">
        <v>291</v>
      </c>
      <c r="G15" s="22" t="s">
        <v>292</v>
      </c>
      <c r="H15" s="22" t="s">
        <v>293</v>
      </c>
      <c r="J15" s="23" t="s">
        <v>291</v>
      </c>
      <c r="K15" s="22" t="s">
        <v>292</v>
      </c>
      <c r="L15" s="22" t="s">
        <v>293</v>
      </c>
      <c r="N15" s="21" t="s">
        <v>291</v>
      </c>
      <c r="O15" s="22" t="s">
        <v>292</v>
      </c>
      <c r="P15" s="22" t="s">
        <v>293</v>
      </c>
      <c r="R15" s="21" t="s">
        <v>291</v>
      </c>
      <c r="S15" s="22" t="s">
        <v>292</v>
      </c>
      <c r="T15" s="22" t="s">
        <v>293</v>
      </c>
      <c r="V15" s="21" t="s">
        <v>291</v>
      </c>
      <c r="W15" s="22" t="s">
        <v>292</v>
      </c>
      <c r="X15" s="22" t="s">
        <v>293</v>
      </c>
      <c r="Z15" s="21" t="s">
        <v>291</v>
      </c>
      <c r="AA15" s="22" t="s">
        <v>292</v>
      </c>
      <c r="AB15" s="22" t="s">
        <v>293</v>
      </c>
    </row>
    <row r="16" spans="1:28" x14ac:dyDescent="0.35">
      <c r="B16" s="24">
        <v>42835</v>
      </c>
      <c r="C16" s="25">
        <v>130.95323200000001</v>
      </c>
      <c r="D16" s="26"/>
      <c r="F16" s="24">
        <v>42835</v>
      </c>
      <c r="G16" s="25">
        <v>47.172955000000002</v>
      </c>
      <c r="H16" s="26"/>
      <c r="J16" s="24">
        <v>42835</v>
      </c>
      <c r="K16" s="232">
        <v>42.243735999999998</v>
      </c>
      <c r="L16" s="26"/>
      <c r="N16" s="24">
        <v>42835</v>
      </c>
      <c r="O16" s="25">
        <v>24.5457</v>
      </c>
      <c r="P16" s="26"/>
      <c r="R16" s="24">
        <v>42835</v>
      </c>
      <c r="S16" s="232">
        <v>370.36999500000002</v>
      </c>
      <c r="T16" s="26"/>
      <c r="V16" s="24">
        <v>42835</v>
      </c>
      <c r="W16" s="25">
        <v>103.493813</v>
      </c>
      <c r="X16" s="26"/>
      <c r="Z16" s="24">
        <v>42835</v>
      </c>
      <c r="AA16" s="27">
        <v>2328.9499999999998</v>
      </c>
      <c r="AB16" s="26"/>
    </row>
    <row r="17" spans="2:28" x14ac:dyDescent="0.35">
      <c r="B17" s="24">
        <v>42842</v>
      </c>
      <c r="C17" s="25">
        <v>129.98088100000001</v>
      </c>
      <c r="D17" s="28">
        <f>(C17/C16)-1</f>
        <v>-7.4251775626278382E-3</v>
      </c>
      <c r="F17" s="24">
        <v>42842</v>
      </c>
      <c r="G17" s="25">
        <v>47.411960999999998</v>
      </c>
      <c r="H17" s="28">
        <f>(G17/G16)-1</f>
        <v>5.0665895320740617E-3</v>
      </c>
      <c r="J17" s="24">
        <v>42842</v>
      </c>
      <c r="K17" s="233">
        <v>42.763496000000004</v>
      </c>
      <c r="L17" s="28">
        <f>(K17/K16)-1</f>
        <v>1.2303836005413959E-2</v>
      </c>
      <c r="N17" s="24">
        <v>42842</v>
      </c>
      <c r="O17" s="25">
        <v>24.371824</v>
      </c>
      <c r="P17" s="28">
        <f>(O17/O16)-1</f>
        <v>-7.0837661993750078E-3</v>
      </c>
      <c r="R17" s="24">
        <v>42842</v>
      </c>
      <c r="S17" s="233">
        <v>370.11999500000002</v>
      </c>
      <c r="T17" s="28">
        <f>(S17/S16)-1</f>
        <v>-6.750006841131917E-4</v>
      </c>
      <c r="V17" s="24">
        <v>42842</v>
      </c>
      <c r="W17" s="25">
        <v>100.819344</v>
      </c>
      <c r="X17" s="28">
        <f>(W17/W16)-1</f>
        <v>-2.5841824960106563E-2</v>
      </c>
      <c r="Z17" s="24">
        <v>42842</v>
      </c>
      <c r="AA17" s="27">
        <v>2348.69</v>
      </c>
      <c r="AB17" s="28">
        <f>(AA17/AA16)-1</f>
        <v>8.4759226260762155E-3</v>
      </c>
    </row>
    <row r="18" spans="2:28" x14ac:dyDescent="0.35">
      <c r="B18" s="24">
        <v>42849</v>
      </c>
      <c r="C18" s="25">
        <v>132.338898</v>
      </c>
      <c r="D18" s="28">
        <f t="shared" ref="D18:D81" si="0">(C18/C17)-1</f>
        <v>1.814126032889396E-2</v>
      </c>
      <c r="F18" s="24">
        <v>42849</v>
      </c>
      <c r="G18" s="25">
        <v>48.986919</v>
      </c>
      <c r="H18" s="28">
        <f t="shared" ref="H18:H81" si="1">(G18/G17)-1</f>
        <v>3.3218579590074349E-2</v>
      </c>
      <c r="J18" s="24">
        <v>42849</v>
      </c>
      <c r="K18" s="233">
        <v>44.818500999999998</v>
      </c>
      <c r="L18" s="28">
        <f t="shared" ref="L18:L81" si="2">(K18/K17)-1</f>
        <v>4.8055121592490702E-2</v>
      </c>
      <c r="N18" s="24">
        <v>42849</v>
      </c>
      <c r="O18" s="25">
        <v>24.574677999999999</v>
      </c>
      <c r="P18" s="28">
        <f t="shared" ref="P18:P81" si="3">(O18/O17)-1</f>
        <v>8.3232998892490695E-3</v>
      </c>
      <c r="R18" s="24">
        <v>42849</v>
      </c>
      <c r="S18" s="233">
        <v>388.48998999999998</v>
      </c>
      <c r="T18" s="28">
        <f t="shared" ref="T18:T81" si="4">(S18/S17)-1</f>
        <v>4.9632538766245071E-2</v>
      </c>
      <c r="V18" s="24">
        <v>42849</v>
      </c>
      <c r="W18" s="25">
        <v>102.235237</v>
      </c>
      <c r="X18" s="28">
        <f t="shared" ref="X18:X81" si="5">(W18/W17)-1</f>
        <v>1.4043862455601852E-2</v>
      </c>
      <c r="Z18" s="24">
        <v>42849</v>
      </c>
      <c r="AA18" s="27">
        <v>2384.1999999999998</v>
      </c>
      <c r="AB18" s="28">
        <f t="shared" ref="AB18:AB81" si="6">(AA18/AA17)-1</f>
        <v>1.5119066373169732E-2</v>
      </c>
    </row>
    <row r="19" spans="2:28" x14ac:dyDescent="0.35">
      <c r="B19" s="24">
        <v>42856</v>
      </c>
      <c r="C19" s="25">
        <v>132.73585499999999</v>
      </c>
      <c r="D19" s="28">
        <f t="shared" si="0"/>
        <v>2.9995489308063394E-3</v>
      </c>
      <c r="F19" s="24">
        <v>42856</v>
      </c>
      <c r="G19" s="25">
        <v>49.766953000000001</v>
      </c>
      <c r="H19" s="28">
        <f t="shared" si="1"/>
        <v>1.5923312098889086E-2</v>
      </c>
      <c r="J19" s="24">
        <v>42856</v>
      </c>
      <c r="K19" s="233">
        <v>44.098858</v>
      </c>
      <c r="L19" s="28">
        <f t="shared" si="2"/>
        <v>-1.6056828852888172E-2</v>
      </c>
      <c r="N19" s="24">
        <v>42856</v>
      </c>
      <c r="O19" s="25">
        <v>24.255898999999999</v>
      </c>
      <c r="P19" s="28">
        <f t="shared" si="3"/>
        <v>-1.2971848501941663E-2</v>
      </c>
      <c r="R19" s="24">
        <v>42856</v>
      </c>
      <c r="S19" s="233">
        <v>429</v>
      </c>
      <c r="T19" s="28">
        <f t="shared" si="4"/>
        <v>0.10427555675244049</v>
      </c>
      <c r="V19" s="24">
        <v>42856</v>
      </c>
      <c r="W19" s="25">
        <v>102.26836400000001</v>
      </c>
      <c r="X19" s="28">
        <f t="shared" si="5"/>
        <v>3.2402722360802549E-4</v>
      </c>
      <c r="Z19" s="24">
        <v>42856</v>
      </c>
      <c r="AA19" s="27">
        <v>2399.29</v>
      </c>
      <c r="AB19" s="28">
        <f t="shared" si="6"/>
        <v>6.3291670161900182E-3</v>
      </c>
    </row>
    <row r="20" spans="2:28" x14ac:dyDescent="0.35">
      <c r="B20" s="24">
        <v>42863</v>
      </c>
      <c r="C20" s="25">
        <v>129.826874</v>
      </c>
      <c r="D20" s="28">
        <f t="shared" si="0"/>
        <v>-2.1915563055664111E-2</v>
      </c>
      <c r="F20" s="24">
        <v>42863</v>
      </c>
      <c r="G20" s="25">
        <v>49.076068999999997</v>
      </c>
      <c r="H20" s="28">
        <f t="shared" si="1"/>
        <v>-1.3882384963371242E-2</v>
      </c>
      <c r="J20" s="24">
        <v>42863</v>
      </c>
      <c r="K20" s="233">
        <v>44.002887999999999</v>
      </c>
      <c r="L20" s="28">
        <f t="shared" si="2"/>
        <v>-2.1762468316073313E-3</v>
      </c>
      <c r="N20" s="24">
        <v>42863</v>
      </c>
      <c r="O20" s="25">
        <v>23.915393999999999</v>
      </c>
      <c r="P20" s="28">
        <f t="shared" si="3"/>
        <v>-1.4038028440009565E-2</v>
      </c>
      <c r="R20" s="24">
        <v>42863</v>
      </c>
      <c r="S20" s="233">
        <v>442.04998799999998</v>
      </c>
      <c r="T20" s="28">
        <f t="shared" si="4"/>
        <v>3.0419552447552345E-2</v>
      </c>
      <c r="V20" s="24">
        <v>42863</v>
      </c>
      <c r="W20" s="25">
        <v>102.376007</v>
      </c>
      <c r="X20" s="28">
        <f t="shared" si="5"/>
        <v>1.0525542385717568E-3</v>
      </c>
      <c r="Z20" s="24">
        <v>42863</v>
      </c>
      <c r="AA20" s="27">
        <v>2390.9</v>
      </c>
      <c r="AB20" s="28">
        <f t="shared" si="6"/>
        <v>-3.4968678233977535E-3</v>
      </c>
    </row>
    <row r="21" spans="2:28" x14ac:dyDescent="0.35">
      <c r="B21" s="24">
        <v>42870</v>
      </c>
      <c r="C21" s="25">
        <v>126.820702</v>
      </c>
      <c r="D21" s="28">
        <f t="shared" si="0"/>
        <v>-2.3155236719325178E-2</v>
      </c>
      <c r="F21" s="24">
        <v>42870</v>
      </c>
      <c r="G21" s="25">
        <v>48.719479</v>
      </c>
      <c r="H21" s="28">
        <f t="shared" si="1"/>
        <v>-7.2660668889351632E-3</v>
      </c>
      <c r="J21" s="24">
        <v>42870</v>
      </c>
      <c r="K21" s="233">
        <v>43.195278000000002</v>
      </c>
      <c r="L21" s="28">
        <f t="shared" si="2"/>
        <v>-1.8353568065805015E-2</v>
      </c>
      <c r="N21" s="24">
        <v>42870</v>
      </c>
      <c r="O21" s="25">
        <v>23.744551000000001</v>
      </c>
      <c r="P21" s="28">
        <f t="shared" si="3"/>
        <v>-7.1436414553738281E-3</v>
      </c>
      <c r="R21" s="24">
        <v>42870</v>
      </c>
      <c r="S21" s="233">
        <v>450.01001000000002</v>
      </c>
      <c r="T21" s="28">
        <f t="shared" si="4"/>
        <v>1.800706303830979E-2</v>
      </c>
      <c r="V21" s="24">
        <v>42870</v>
      </c>
      <c r="W21" s="25">
        <v>105.158157</v>
      </c>
      <c r="X21" s="28">
        <f t="shared" si="5"/>
        <v>2.7175801064403649E-2</v>
      </c>
      <c r="Z21" s="24">
        <v>42870</v>
      </c>
      <c r="AA21" s="27">
        <v>2381.73</v>
      </c>
      <c r="AB21" s="28">
        <f t="shared" si="6"/>
        <v>-3.8353757999080029E-3</v>
      </c>
    </row>
    <row r="22" spans="2:28" x14ac:dyDescent="0.35">
      <c r="B22" s="24">
        <v>42877</v>
      </c>
      <c r="C22" s="25">
        <v>126.513306</v>
      </c>
      <c r="D22" s="28">
        <f t="shared" si="0"/>
        <v>-2.4238629431336811E-3</v>
      </c>
      <c r="F22" s="24">
        <v>42877</v>
      </c>
      <c r="G22" s="25">
        <v>49.076068999999997</v>
      </c>
      <c r="H22" s="28">
        <f t="shared" si="1"/>
        <v>7.3192490420515011E-3</v>
      </c>
      <c r="J22" s="24">
        <v>42877</v>
      </c>
      <c r="K22" s="233">
        <v>43.155296</v>
      </c>
      <c r="L22" s="28">
        <f t="shared" si="2"/>
        <v>-9.2561043362193729E-4</v>
      </c>
      <c r="N22" s="24">
        <v>42877</v>
      </c>
      <c r="O22" s="25">
        <v>23.510470999999999</v>
      </c>
      <c r="P22" s="28">
        <f t="shared" si="3"/>
        <v>-9.8582617965697894E-3</v>
      </c>
      <c r="R22" s="24">
        <v>42877</v>
      </c>
      <c r="S22" s="233">
        <v>455.17001299999998</v>
      </c>
      <c r="T22" s="28">
        <f t="shared" si="4"/>
        <v>1.1466418269229006E-2</v>
      </c>
      <c r="V22" s="24">
        <v>42877</v>
      </c>
      <c r="W22" s="25">
        <v>105.091904</v>
      </c>
      <c r="X22" s="28">
        <f t="shared" si="5"/>
        <v>-6.3003196223765379E-4</v>
      </c>
      <c r="Z22" s="24">
        <v>42877</v>
      </c>
      <c r="AA22" s="27">
        <v>2415.8200000000002</v>
      </c>
      <c r="AB22" s="28">
        <f t="shared" si="6"/>
        <v>1.431312533326623E-2</v>
      </c>
    </row>
    <row r="23" spans="2:28" x14ac:dyDescent="0.35">
      <c r="B23" s="24">
        <v>42884</v>
      </c>
      <c r="C23" s="25">
        <v>129.89215100000001</v>
      </c>
      <c r="D23" s="28">
        <f t="shared" si="0"/>
        <v>2.6707427912760595E-2</v>
      </c>
      <c r="F23" s="24">
        <v>42884</v>
      </c>
      <c r="G23" s="25">
        <v>49.96011</v>
      </c>
      <c r="H23" s="28">
        <f t="shared" si="1"/>
        <v>1.8013688097145764E-2</v>
      </c>
      <c r="J23" s="24">
        <v>42884</v>
      </c>
      <c r="K23" s="233">
        <v>43.954906000000001</v>
      </c>
      <c r="L23" s="28">
        <f t="shared" si="2"/>
        <v>1.8528664477240442E-2</v>
      </c>
      <c r="N23" s="24">
        <v>42884</v>
      </c>
      <c r="O23" s="25">
        <v>23.803070000000002</v>
      </c>
      <c r="P23" s="28">
        <f t="shared" si="3"/>
        <v>1.2445475890295876E-2</v>
      </c>
      <c r="R23" s="24">
        <v>42884</v>
      </c>
      <c r="S23" s="233">
        <v>480.42999300000002</v>
      </c>
      <c r="T23" s="28">
        <f t="shared" si="4"/>
        <v>5.5495703316466249E-2</v>
      </c>
      <c r="V23" s="24">
        <v>42884</v>
      </c>
      <c r="W23" s="25">
        <v>108.422691</v>
      </c>
      <c r="X23" s="28">
        <f t="shared" si="5"/>
        <v>3.1694039913864325E-2</v>
      </c>
      <c r="Z23" s="24">
        <v>42884</v>
      </c>
      <c r="AA23" s="27">
        <v>2439.0700000000002</v>
      </c>
      <c r="AB23" s="28">
        <f t="shared" si="6"/>
        <v>9.6240613953026966E-3</v>
      </c>
    </row>
    <row r="24" spans="2:28" x14ac:dyDescent="0.35">
      <c r="B24" s="24">
        <v>42891</v>
      </c>
      <c r="C24" s="25">
        <v>133.89956699999999</v>
      </c>
      <c r="D24" s="28">
        <f t="shared" si="0"/>
        <v>3.0851871873304848E-2</v>
      </c>
      <c r="F24" s="24">
        <v>42891</v>
      </c>
      <c r="G24" s="25">
        <v>51.757945999999997</v>
      </c>
      <c r="H24" s="28">
        <f t="shared" si="1"/>
        <v>3.5985429175396044E-2</v>
      </c>
      <c r="J24" s="24">
        <v>42891</v>
      </c>
      <c r="K24" s="233">
        <v>42.979382000000001</v>
      </c>
      <c r="L24" s="28">
        <f t="shared" si="2"/>
        <v>-2.2193745562781975E-2</v>
      </c>
      <c r="N24" s="24">
        <v>42891</v>
      </c>
      <c r="O24" s="25">
        <v>23.971323000000002</v>
      </c>
      <c r="P24" s="28">
        <f t="shared" si="3"/>
        <v>7.0685419989942044E-3</v>
      </c>
      <c r="R24" s="24">
        <v>42891</v>
      </c>
      <c r="S24" s="233">
        <v>475.790009</v>
      </c>
      <c r="T24" s="28">
        <f t="shared" si="4"/>
        <v>-9.6579815323895035E-3</v>
      </c>
      <c r="V24" s="24">
        <v>42891</v>
      </c>
      <c r="W24" s="25">
        <v>109.631287</v>
      </c>
      <c r="X24" s="28">
        <f t="shared" si="5"/>
        <v>1.1147076214885754E-2</v>
      </c>
      <c r="Z24" s="24">
        <v>42891</v>
      </c>
      <c r="AA24" s="27">
        <v>2431.77</v>
      </c>
      <c r="AB24" s="28">
        <f t="shared" si="6"/>
        <v>-2.9929440319467204E-3</v>
      </c>
    </row>
    <row r="25" spans="2:28" x14ac:dyDescent="0.35">
      <c r="B25" s="24">
        <v>42898</v>
      </c>
      <c r="C25" s="25">
        <v>132.56106600000001</v>
      </c>
      <c r="D25" s="28">
        <f t="shared" si="0"/>
        <v>-9.9963056639308379E-3</v>
      </c>
      <c r="F25" s="24">
        <v>42898</v>
      </c>
      <c r="G25" s="25">
        <v>52.783141999999998</v>
      </c>
      <c r="H25" s="28">
        <f t="shared" si="1"/>
        <v>1.9807509362910203E-2</v>
      </c>
      <c r="J25" s="24">
        <v>42898</v>
      </c>
      <c r="K25" s="233">
        <v>43.547103999999997</v>
      </c>
      <c r="L25" s="28">
        <f t="shared" si="2"/>
        <v>1.3209170853131225E-2</v>
      </c>
      <c r="N25" s="24">
        <v>42898</v>
      </c>
      <c r="O25" s="25">
        <v>24.117619000000001</v>
      </c>
      <c r="P25" s="28">
        <f t="shared" si="3"/>
        <v>6.1029589397296746E-3</v>
      </c>
      <c r="R25" s="24">
        <v>42898</v>
      </c>
      <c r="S25" s="233">
        <v>459.91000400000001</v>
      </c>
      <c r="T25" s="28">
        <f t="shared" si="4"/>
        <v>-3.3376079151758664E-2</v>
      </c>
      <c r="V25" s="24">
        <v>42898</v>
      </c>
      <c r="W25" s="25">
        <v>111.981773</v>
      </c>
      <c r="X25" s="28">
        <f t="shared" si="5"/>
        <v>2.1439919792239692E-2</v>
      </c>
      <c r="Z25" s="24">
        <v>42898</v>
      </c>
      <c r="AA25" s="27">
        <v>2433.15</v>
      </c>
      <c r="AB25" s="28">
        <f t="shared" si="6"/>
        <v>5.6748787919924659E-4</v>
      </c>
    </row>
    <row r="26" spans="2:28" x14ac:dyDescent="0.35">
      <c r="B26" s="24">
        <v>42905</v>
      </c>
      <c r="C26" s="25">
        <v>140.78796399999999</v>
      </c>
      <c r="D26" s="28">
        <f t="shared" si="0"/>
        <v>6.2061193744473719E-2</v>
      </c>
      <c r="F26" s="24">
        <v>42905</v>
      </c>
      <c r="G26" s="25">
        <v>53.964348000000001</v>
      </c>
      <c r="H26" s="28">
        <f t="shared" si="1"/>
        <v>2.2378470762502323E-2</v>
      </c>
      <c r="J26" s="24">
        <v>42905</v>
      </c>
      <c r="K26" s="233">
        <v>45.290275999999999</v>
      </c>
      <c r="L26" s="28">
        <f t="shared" si="2"/>
        <v>4.002957349356695E-2</v>
      </c>
      <c r="N26" s="24">
        <v>42905</v>
      </c>
      <c r="O26" s="25">
        <v>24.995419999999999</v>
      </c>
      <c r="P26" s="28">
        <f t="shared" si="3"/>
        <v>3.639666917368567E-2</v>
      </c>
      <c r="R26" s="24">
        <v>42905</v>
      </c>
      <c r="S26" s="233">
        <v>517.330017</v>
      </c>
      <c r="T26" s="28">
        <f t="shared" si="4"/>
        <v>0.1248505414115757</v>
      </c>
      <c r="V26" s="24">
        <v>42905</v>
      </c>
      <c r="W26" s="25">
        <v>113.715469</v>
      </c>
      <c r="X26" s="28">
        <f t="shared" si="5"/>
        <v>1.5481948120253497E-2</v>
      </c>
      <c r="Z26" s="24">
        <v>42905</v>
      </c>
      <c r="AA26" s="27">
        <v>2438.3000000000002</v>
      </c>
      <c r="AB26" s="28">
        <f t="shared" si="6"/>
        <v>2.1165978258637086E-3</v>
      </c>
    </row>
    <row r="27" spans="2:28" x14ac:dyDescent="0.35">
      <c r="B27" s="24">
        <v>42912</v>
      </c>
      <c r="C27" s="25">
        <v>140.567612</v>
      </c>
      <c r="D27" s="28">
        <f t="shared" si="0"/>
        <v>-1.5651337922607533E-3</v>
      </c>
      <c r="F27" s="24">
        <v>42912</v>
      </c>
      <c r="G27" s="25">
        <v>53.867767000000001</v>
      </c>
      <c r="H27" s="28">
        <f t="shared" si="1"/>
        <v>-1.7897186490606343E-3</v>
      </c>
      <c r="J27" s="24">
        <v>42912</v>
      </c>
      <c r="K27" s="233">
        <v>44.554630000000003</v>
      </c>
      <c r="L27" s="28">
        <f t="shared" si="2"/>
        <v>-1.624291271706968E-2</v>
      </c>
      <c r="N27" s="24">
        <v>42912</v>
      </c>
      <c r="O27" s="25">
        <v>24.571148000000001</v>
      </c>
      <c r="P27" s="28">
        <f t="shared" si="3"/>
        <v>-1.6973989634901043E-2</v>
      </c>
      <c r="R27" s="24">
        <v>42912</v>
      </c>
      <c r="S27" s="233">
        <v>491.14001500000001</v>
      </c>
      <c r="T27" s="28">
        <f t="shared" si="4"/>
        <v>-5.0625328396515568E-2</v>
      </c>
      <c r="V27" s="24">
        <v>42912</v>
      </c>
      <c r="W27" s="25">
        <v>110.264763</v>
      </c>
      <c r="X27" s="28">
        <f t="shared" si="5"/>
        <v>-3.0345088758328864E-2</v>
      </c>
      <c r="Z27" s="24">
        <v>42912</v>
      </c>
      <c r="AA27" s="27">
        <v>2423.41</v>
      </c>
      <c r="AB27" s="28">
        <f t="shared" si="6"/>
        <v>-6.1067136939672029E-3</v>
      </c>
    </row>
    <row r="28" spans="2:28" x14ac:dyDescent="0.35">
      <c r="B28" s="24">
        <v>42919</v>
      </c>
      <c r="C28" s="25">
        <v>139.914627</v>
      </c>
      <c r="D28" s="28">
        <f t="shared" si="0"/>
        <v>-4.6453446189297365E-3</v>
      </c>
      <c r="F28" s="24">
        <v>42919</v>
      </c>
      <c r="G28" s="25">
        <v>53.511177000000004</v>
      </c>
      <c r="H28" s="28">
        <f t="shared" si="1"/>
        <v>-6.6197286403202327E-3</v>
      </c>
      <c r="J28" s="24">
        <v>42919</v>
      </c>
      <c r="K28" s="233">
        <v>44.706550999999997</v>
      </c>
      <c r="L28" s="28">
        <f t="shared" si="2"/>
        <v>3.409769085726877E-3</v>
      </c>
      <c r="N28" s="24">
        <v>42919</v>
      </c>
      <c r="O28" s="25">
        <v>24.395588</v>
      </c>
      <c r="P28" s="28">
        <f t="shared" si="3"/>
        <v>-7.144965306464357E-3</v>
      </c>
      <c r="R28" s="24">
        <v>42919</v>
      </c>
      <c r="S28" s="233">
        <v>496.5</v>
      </c>
      <c r="T28" s="28">
        <f t="shared" si="4"/>
        <v>1.0913354310990053E-2</v>
      </c>
      <c r="V28" s="24">
        <v>42919</v>
      </c>
      <c r="W28" s="25">
        <v>110.473106</v>
      </c>
      <c r="X28" s="28">
        <f t="shared" si="5"/>
        <v>1.8894794160124739E-3</v>
      </c>
      <c r="Z28" s="24">
        <v>42919</v>
      </c>
      <c r="AA28" s="27">
        <v>2425.1799999999998</v>
      </c>
      <c r="AB28" s="28">
        <f t="shared" si="6"/>
        <v>7.3037579278789622E-4</v>
      </c>
    </row>
    <row r="29" spans="2:28" x14ac:dyDescent="0.35">
      <c r="B29" s="24">
        <v>42926</v>
      </c>
      <c r="C29" s="25">
        <v>144.56680299999999</v>
      </c>
      <c r="D29" s="28">
        <f t="shared" si="0"/>
        <v>3.3250104722789331E-2</v>
      </c>
      <c r="F29" s="24">
        <v>42926</v>
      </c>
      <c r="G29" s="25">
        <v>54.313510999999998</v>
      </c>
      <c r="H29" s="28">
        <f t="shared" si="1"/>
        <v>1.4993764760584449E-2</v>
      </c>
      <c r="J29" s="24">
        <v>42926</v>
      </c>
      <c r="K29" s="233">
        <v>44.406619999999997</v>
      </c>
      <c r="L29" s="28">
        <f t="shared" si="2"/>
        <v>-6.7088825528053286E-3</v>
      </c>
      <c r="N29" s="24">
        <v>42926</v>
      </c>
      <c r="O29" s="25">
        <v>24.454113</v>
      </c>
      <c r="P29" s="28">
        <f t="shared" si="3"/>
        <v>2.3989993600481707E-3</v>
      </c>
      <c r="R29" s="24">
        <v>42926</v>
      </c>
      <c r="S29" s="233">
        <v>504.89999399999999</v>
      </c>
      <c r="T29" s="28">
        <f t="shared" si="4"/>
        <v>1.691841691842888E-2</v>
      </c>
      <c r="V29" s="24">
        <v>42926</v>
      </c>
      <c r="W29" s="25">
        <v>110.523132</v>
      </c>
      <c r="X29" s="28">
        <f t="shared" si="5"/>
        <v>4.5283419477670783E-4</v>
      </c>
      <c r="Z29" s="24">
        <v>42926</v>
      </c>
      <c r="AA29" s="27">
        <v>2459.27</v>
      </c>
      <c r="AB29" s="28">
        <f t="shared" si="6"/>
        <v>1.4056688575693421E-2</v>
      </c>
    </row>
    <row r="30" spans="2:28" x14ac:dyDescent="0.35">
      <c r="B30" s="24">
        <v>42933</v>
      </c>
      <c r="C30" s="25">
        <v>147.08059700000001</v>
      </c>
      <c r="D30" s="28">
        <f t="shared" si="0"/>
        <v>1.7388459506848308E-2</v>
      </c>
      <c r="F30" s="24">
        <v>42933</v>
      </c>
      <c r="G30" s="25">
        <v>55.941090000000003</v>
      </c>
      <c r="H30" s="28">
        <f t="shared" si="1"/>
        <v>2.9966374296811704E-2</v>
      </c>
      <c r="J30" s="24">
        <v>42933</v>
      </c>
      <c r="K30" s="233">
        <v>44.809227</v>
      </c>
      <c r="L30" s="28">
        <f t="shared" si="2"/>
        <v>9.066373437113695E-3</v>
      </c>
      <c r="N30" s="24">
        <v>42933</v>
      </c>
      <c r="O30" s="25">
        <v>24.490680999999999</v>
      </c>
      <c r="P30" s="28">
        <f t="shared" si="3"/>
        <v>1.4953721690906807E-3</v>
      </c>
      <c r="R30" s="24">
        <v>42933</v>
      </c>
      <c r="S30" s="233">
        <v>515.919983</v>
      </c>
      <c r="T30" s="28">
        <f t="shared" si="4"/>
        <v>2.1826082651924095E-2</v>
      </c>
      <c r="V30" s="24">
        <v>42933</v>
      </c>
      <c r="W30" s="25">
        <v>112.781937</v>
      </c>
      <c r="X30" s="28">
        <f t="shared" si="5"/>
        <v>2.0437395856642837E-2</v>
      </c>
      <c r="Z30" s="24">
        <v>42933</v>
      </c>
      <c r="AA30" s="27">
        <v>2472.54</v>
      </c>
      <c r="AB30" s="28">
        <f t="shared" si="6"/>
        <v>5.3959101684646349E-3</v>
      </c>
    </row>
    <row r="31" spans="2:28" x14ac:dyDescent="0.35">
      <c r="B31" s="24">
        <v>42940</v>
      </c>
      <c r="C31" s="25">
        <v>142.45294200000001</v>
      </c>
      <c r="D31" s="28">
        <f t="shared" si="0"/>
        <v>-3.1463395542241424E-2</v>
      </c>
      <c r="F31" s="24">
        <v>42940</v>
      </c>
      <c r="G31" s="25">
        <v>52.800353999999999</v>
      </c>
      <c r="H31" s="28">
        <f t="shared" si="1"/>
        <v>-5.6143632524857878E-2</v>
      </c>
      <c r="J31" s="24">
        <v>42940</v>
      </c>
      <c r="K31" s="233">
        <v>44.503245999999997</v>
      </c>
      <c r="L31" s="28">
        <f t="shared" si="2"/>
        <v>-6.8285266335882389E-3</v>
      </c>
      <c r="N31" s="24">
        <v>42940</v>
      </c>
      <c r="O31" s="25">
        <v>24.249289000000001</v>
      </c>
      <c r="P31" s="28">
        <f t="shared" si="3"/>
        <v>-9.8564837784623771E-3</v>
      </c>
      <c r="R31" s="24">
        <v>42940</v>
      </c>
      <c r="S31" s="233">
        <v>508.709991</v>
      </c>
      <c r="T31" s="28">
        <f t="shared" si="4"/>
        <v>-1.3975019843338821E-2</v>
      </c>
      <c r="V31" s="24">
        <v>42940</v>
      </c>
      <c r="W31" s="25">
        <v>109.898003</v>
      </c>
      <c r="X31" s="28">
        <f t="shared" si="5"/>
        <v>-2.5570885522209097E-2</v>
      </c>
      <c r="Z31" s="24">
        <v>42940</v>
      </c>
      <c r="AA31" s="27">
        <v>2472.1</v>
      </c>
      <c r="AB31" s="28">
        <f t="shared" si="6"/>
        <v>-1.7795465391867715E-4</v>
      </c>
    </row>
    <row r="32" spans="2:28" x14ac:dyDescent="0.35">
      <c r="B32" s="24">
        <v>42947</v>
      </c>
      <c r="C32" s="25">
        <v>141.88975500000001</v>
      </c>
      <c r="D32" s="28">
        <f t="shared" si="0"/>
        <v>-3.9534950425944571E-3</v>
      </c>
      <c r="F32" s="24">
        <v>42947</v>
      </c>
      <c r="G32" s="25">
        <v>53.212631000000002</v>
      </c>
      <c r="H32" s="28">
        <f t="shared" si="1"/>
        <v>7.8082241645578421E-3</v>
      </c>
      <c r="J32" s="24">
        <v>42947</v>
      </c>
      <c r="K32" s="233">
        <v>45.050784999999998</v>
      </c>
      <c r="L32" s="28">
        <f t="shared" si="2"/>
        <v>1.2303349737679881E-2</v>
      </c>
      <c r="N32" s="24">
        <v>42947</v>
      </c>
      <c r="O32" s="25">
        <v>24.607728999999999</v>
      </c>
      <c r="P32" s="28">
        <f t="shared" si="3"/>
        <v>1.4781464314273185E-2</v>
      </c>
      <c r="R32" s="24">
        <v>42947</v>
      </c>
      <c r="S32" s="233">
        <v>468.76001000000002</v>
      </c>
      <c r="T32" s="28">
        <f t="shared" si="4"/>
        <v>-7.8531937069818536E-2</v>
      </c>
      <c r="V32" s="24">
        <v>42947</v>
      </c>
      <c r="W32" s="25">
        <v>111.006584</v>
      </c>
      <c r="X32" s="28">
        <f t="shared" si="5"/>
        <v>1.0087362551983725E-2</v>
      </c>
      <c r="Z32" s="24">
        <v>42947</v>
      </c>
      <c r="AA32" s="27">
        <v>2476.83</v>
      </c>
      <c r="AB32" s="28">
        <f t="shared" si="6"/>
        <v>1.9133530196997484E-3</v>
      </c>
    </row>
    <row r="33" spans="2:28" x14ac:dyDescent="0.35">
      <c r="B33" s="24">
        <v>42954</v>
      </c>
      <c r="C33" s="25">
        <v>138.28234900000001</v>
      </c>
      <c r="D33" s="28">
        <f t="shared" si="0"/>
        <v>-2.5424006123627385E-2</v>
      </c>
      <c r="F33" s="24">
        <v>42954</v>
      </c>
      <c r="G33" s="25">
        <v>52.942768000000001</v>
      </c>
      <c r="H33" s="28">
        <f t="shared" si="1"/>
        <v>-5.0714087036967115E-3</v>
      </c>
      <c r="J33" s="24">
        <v>42954</v>
      </c>
      <c r="K33" s="233">
        <v>45.678832999999997</v>
      </c>
      <c r="L33" s="28">
        <f t="shared" si="2"/>
        <v>1.3940889154317793E-2</v>
      </c>
      <c r="N33" s="24">
        <v>42954</v>
      </c>
      <c r="O33" s="25">
        <v>24.560023999999999</v>
      </c>
      <c r="P33" s="28">
        <f t="shared" si="3"/>
        <v>-1.9386185535447131E-3</v>
      </c>
      <c r="R33" s="24">
        <v>42954</v>
      </c>
      <c r="S33" s="233">
        <v>466.58999599999999</v>
      </c>
      <c r="T33" s="28">
        <f t="shared" si="4"/>
        <v>-4.6292643436031122E-3</v>
      </c>
      <c r="V33" s="24">
        <v>42954</v>
      </c>
      <c r="W33" s="25">
        <v>110.939911</v>
      </c>
      <c r="X33" s="28">
        <f t="shared" si="5"/>
        <v>-6.0062203157251748E-4</v>
      </c>
      <c r="Z33" s="24">
        <v>42954</v>
      </c>
      <c r="AA33" s="27">
        <v>2441.3200000000002</v>
      </c>
      <c r="AB33" s="28">
        <f t="shared" si="6"/>
        <v>-1.4336874149618595E-2</v>
      </c>
    </row>
    <row r="34" spans="2:28" x14ac:dyDescent="0.35">
      <c r="B34" s="24">
        <v>42961</v>
      </c>
      <c r="C34" s="25">
        <v>136.53573600000001</v>
      </c>
      <c r="D34" s="28">
        <f t="shared" si="0"/>
        <v>-1.2630773288353603E-2</v>
      </c>
      <c r="F34" s="24">
        <v>42961</v>
      </c>
      <c r="G34" s="25">
        <v>52.440567000000001</v>
      </c>
      <c r="H34" s="28">
        <f t="shared" si="1"/>
        <v>-9.4857337266536224E-3</v>
      </c>
      <c r="J34" s="24">
        <v>42961</v>
      </c>
      <c r="K34" s="233">
        <v>45.429229999999997</v>
      </c>
      <c r="L34" s="28">
        <f t="shared" si="2"/>
        <v>-5.4643033459282897E-3</v>
      </c>
      <c r="N34" s="24">
        <v>42961</v>
      </c>
      <c r="O34" s="25">
        <v>24.131605</v>
      </c>
      <c r="P34" s="28">
        <f t="shared" si="3"/>
        <v>-1.7443753312293087E-2</v>
      </c>
      <c r="R34" s="24">
        <v>42961</v>
      </c>
      <c r="S34" s="233">
        <v>467.98001099999999</v>
      </c>
      <c r="T34" s="28">
        <f t="shared" si="4"/>
        <v>2.979093019388257E-3</v>
      </c>
      <c r="V34" s="24">
        <v>42961</v>
      </c>
      <c r="W34" s="25">
        <v>110.548149</v>
      </c>
      <c r="X34" s="28">
        <f t="shared" si="5"/>
        <v>-3.531299029075341E-3</v>
      </c>
      <c r="Z34" s="24">
        <v>42961</v>
      </c>
      <c r="AA34" s="27">
        <v>2425.5500000000002</v>
      </c>
      <c r="AB34" s="28">
        <f t="shared" si="6"/>
        <v>-6.4596202054626461E-3</v>
      </c>
    </row>
    <row r="35" spans="2:28" x14ac:dyDescent="0.35">
      <c r="B35" s="24">
        <v>42968</v>
      </c>
      <c r="C35" s="25">
        <v>139.46961999999999</v>
      </c>
      <c r="D35" s="28">
        <f t="shared" si="0"/>
        <v>2.1488030064158226E-2</v>
      </c>
      <c r="F35" s="24">
        <v>42968</v>
      </c>
      <c r="G35" s="25">
        <v>54.329509999999999</v>
      </c>
      <c r="H35" s="28">
        <f t="shared" si="1"/>
        <v>3.6020644094103771E-2</v>
      </c>
      <c r="J35" s="24">
        <v>42968</v>
      </c>
      <c r="K35" s="233">
        <v>46.999358999999998</v>
      </c>
      <c r="L35" s="28">
        <f t="shared" si="2"/>
        <v>3.456208700873864E-2</v>
      </c>
      <c r="N35" s="24">
        <v>42968</v>
      </c>
      <c r="O35" s="25">
        <v>24.663436999999998</v>
      </c>
      <c r="P35" s="28">
        <f t="shared" si="3"/>
        <v>2.2038815901387343E-2</v>
      </c>
      <c r="R35" s="24">
        <v>42968</v>
      </c>
      <c r="S35" s="233">
        <v>477.79998799999998</v>
      </c>
      <c r="T35" s="28">
        <f t="shared" si="4"/>
        <v>2.098375308598377E-2</v>
      </c>
      <c r="V35" s="24">
        <v>42968</v>
      </c>
      <c r="W35" s="25">
        <v>109.756294</v>
      </c>
      <c r="X35" s="28">
        <f t="shared" si="5"/>
        <v>-7.1629874146512673E-3</v>
      </c>
      <c r="Z35" s="24">
        <v>42968</v>
      </c>
      <c r="AA35" s="27">
        <v>2443.0500000000002</v>
      </c>
      <c r="AB35" s="28">
        <f t="shared" si="6"/>
        <v>7.2148584857043563E-3</v>
      </c>
    </row>
    <row r="36" spans="2:28" x14ac:dyDescent="0.35">
      <c r="B36" s="24">
        <v>42975</v>
      </c>
      <c r="C36" s="25">
        <v>146.83998099999999</v>
      </c>
      <c r="D36" s="28">
        <f t="shared" si="0"/>
        <v>5.2845637637788156E-2</v>
      </c>
      <c r="F36" s="24">
        <v>42975</v>
      </c>
      <c r="G36" s="25">
        <v>56.533237</v>
      </c>
      <c r="H36" s="28">
        <f t="shared" si="1"/>
        <v>4.0562246926210133E-2</v>
      </c>
      <c r="J36" s="24">
        <v>42975</v>
      </c>
      <c r="K36" s="233">
        <v>48.231299999999997</v>
      </c>
      <c r="L36" s="28">
        <f t="shared" si="2"/>
        <v>2.621186812356302E-2</v>
      </c>
      <c r="N36" s="24">
        <v>42975</v>
      </c>
      <c r="O36" s="25">
        <v>25.084465000000002</v>
      </c>
      <c r="P36" s="28">
        <f t="shared" si="3"/>
        <v>1.7070937842118328E-2</v>
      </c>
      <c r="R36" s="24">
        <v>42975</v>
      </c>
      <c r="S36" s="233">
        <v>504</v>
      </c>
      <c r="T36" s="28">
        <f t="shared" si="4"/>
        <v>5.4834685345366729E-2</v>
      </c>
      <c r="V36" s="24">
        <v>42975</v>
      </c>
      <c r="W36" s="25">
        <v>109.909256</v>
      </c>
      <c r="X36" s="28">
        <f t="shared" si="5"/>
        <v>1.3936512834515913E-3</v>
      </c>
      <c r="Z36" s="24">
        <v>42975</v>
      </c>
      <c r="AA36" s="27">
        <v>2476.5500000000002</v>
      </c>
      <c r="AB36" s="28">
        <f t="shared" si="6"/>
        <v>1.3712367737050091E-2</v>
      </c>
    </row>
    <row r="37" spans="2:28" x14ac:dyDescent="0.35">
      <c r="B37" s="24">
        <v>42982</v>
      </c>
      <c r="C37" s="25">
        <v>148.42581200000001</v>
      </c>
      <c r="D37" s="28">
        <f t="shared" si="0"/>
        <v>1.0799722181930926E-2</v>
      </c>
      <c r="F37" s="24">
        <v>42982</v>
      </c>
      <c r="G37" s="25">
        <v>63.969082</v>
      </c>
      <c r="H37" s="28">
        <f t="shared" si="1"/>
        <v>0.13153050125185661</v>
      </c>
      <c r="J37" s="24">
        <v>42982</v>
      </c>
      <c r="K37" s="233">
        <v>50.421447999999998</v>
      </c>
      <c r="L37" s="28">
        <f t="shared" si="2"/>
        <v>4.5409267425924771E-2</v>
      </c>
      <c r="N37" s="24">
        <v>42982</v>
      </c>
      <c r="O37" s="25">
        <v>25.18787</v>
      </c>
      <c r="P37" s="28">
        <f t="shared" si="3"/>
        <v>4.1222724901646135E-3</v>
      </c>
      <c r="R37" s="24">
        <v>42982</v>
      </c>
      <c r="S37" s="233">
        <v>471.48998999999998</v>
      </c>
      <c r="T37" s="28">
        <f t="shared" si="4"/>
        <v>-6.4503988095238163E-2</v>
      </c>
      <c r="V37" s="24">
        <v>42982</v>
      </c>
      <c r="W37" s="25">
        <v>109.86734</v>
      </c>
      <c r="X37" s="28">
        <f t="shared" si="5"/>
        <v>-3.8136915420483586E-4</v>
      </c>
      <c r="Z37" s="24">
        <v>42982</v>
      </c>
      <c r="AA37" s="27">
        <v>2461.4299999999998</v>
      </c>
      <c r="AB37" s="28">
        <f t="shared" si="6"/>
        <v>-6.1052674082898717E-3</v>
      </c>
    </row>
    <row r="38" spans="2:28" x14ac:dyDescent="0.35">
      <c r="B38" s="24">
        <v>42989</v>
      </c>
      <c r="C38" s="25">
        <v>154.03774999999999</v>
      </c>
      <c r="D38" s="28">
        <f t="shared" si="0"/>
        <v>3.7809717355630656E-2</v>
      </c>
      <c r="F38" s="24">
        <v>42989</v>
      </c>
      <c r="G38" s="25">
        <v>65.490737999999993</v>
      </c>
      <c r="H38" s="28">
        <f t="shared" si="1"/>
        <v>2.3787366528098541E-2</v>
      </c>
      <c r="J38" s="24">
        <v>42989</v>
      </c>
      <c r="K38" s="233">
        <v>50.308715999999997</v>
      </c>
      <c r="L38" s="28">
        <f t="shared" si="2"/>
        <v>-2.2357945769427845E-3</v>
      </c>
      <c r="N38" s="24">
        <v>42989</v>
      </c>
      <c r="O38" s="25">
        <v>26.118566999999999</v>
      </c>
      <c r="P38" s="28">
        <f t="shared" si="3"/>
        <v>3.6950206587536005E-2</v>
      </c>
      <c r="R38" s="24">
        <v>42989</v>
      </c>
      <c r="S38" s="233">
        <v>433.45001200000002</v>
      </c>
      <c r="T38" s="28">
        <f t="shared" si="4"/>
        <v>-8.0680351241391057E-2</v>
      </c>
      <c r="V38" s="24">
        <v>42989</v>
      </c>
      <c r="W38" s="25">
        <v>112.778008</v>
      </c>
      <c r="X38" s="28">
        <f t="shared" si="5"/>
        <v>2.6492568219090407E-2</v>
      </c>
      <c r="Z38" s="24">
        <v>42989</v>
      </c>
      <c r="AA38" s="27">
        <v>2500.23</v>
      </c>
      <c r="AB38" s="28">
        <f t="shared" si="6"/>
        <v>1.5763194565760585E-2</v>
      </c>
    </row>
    <row r="39" spans="2:28" x14ac:dyDescent="0.35">
      <c r="B39" s="24">
        <v>42996</v>
      </c>
      <c r="C39" s="25">
        <v>152.63275100000001</v>
      </c>
      <c r="D39" s="28">
        <f t="shared" si="0"/>
        <v>-9.1211342674115681E-3</v>
      </c>
      <c r="F39" s="24">
        <v>42996</v>
      </c>
      <c r="G39" s="25">
        <v>65.573181000000005</v>
      </c>
      <c r="H39" s="28">
        <f t="shared" si="1"/>
        <v>1.2588497628476247E-3</v>
      </c>
      <c r="J39" s="24">
        <v>42996</v>
      </c>
      <c r="K39" s="233">
        <v>51.017288000000001</v>
      </c>
      <c r="L39" s="28">
        <f t="shared" si="2"/>
        <v>1.408447792625056E-2</v>
      </c>
      <c r="N39" s="24">
        <v>42996</v>
      </c>
      <c r="O39" s="25">
        <v>26.561751999999998</v>
      </c>
      <c r="P39" s="28">
        <f t="shared" si="3"/>
        <v>1.6968197374687577E-2</v>
      </c>
      <c r="R39" s="24">
        <v>42996</v>
      </c>
      <c r="S39" s="233">
        <v>432.72000100000002</v>
      </c>
      <c r="T39" s="28">
        <f t="shared" si="4"/>
        <v>-1.6841872875527075E-3</v>
      </c>
      <c r="V39" s="24">
        <v>42996</v>
      </c>
      <c r="W39" s="25">
        <v>110.21122699999999</v>
      </c>
      <c r="X39" s="28">
        <f t="shared" si="5"/>
        <v>-2.2759588021806554E-2</v>
      </c>
      <c r="Z39" s="24">
        <v>42996</v>
      </c>
      <c r="AA39" s="27">
        <v>2502.2199999999998</v>
      </c>
      <c r="AB39" s="28">
        <f t="shared" si="6"/>
        <v>7.9592677473661055E-4</v>
      </c>
    </row>
    <row r="40" spans="2:28" x14ac:dyDescent="0.35">
      <c r="B40" s="24">
        <v>43003</v>
      </c>
      <c r="C40" s="25">
        <v>153.19967700000001</v>
      </c>
      <c r="D40" s="28">
        <f t="shared" si="0"/>
        <v>3.7143142365296811E-3</v>
      </c>
      <c r="F40" s="24">
        <v>43003</v>
      </c>
      <c r="G40" s="25">
        <v>66.607596999999998</v>
      </c>
      <c r="H40" s="28">
        <f t="shared" si="1"/>
        <v>1.5774985813178599E-2</v>
      </c>
      <c r="J40" s="24">
        <v>43003</v>
      </c>
      <c r="K40" s="233">
        <v>51.323256999999998</v>
      </c>
      <c r="L40" s="28">
        <f t="shared" si="2"/>
        <v>5.9973591696993456E-3</v>
      </c>
      <c r="N40" s="24">
        <v>43003</v>
      </c>
      <c r="O40" s="25">
        <v>26.369714999999999</v>
      </c>
      <c r="P40" s="28">
        <f t="shared" si="3"/>
        <v>-7.2298318273583684E-3</v>
      </c>
      <c r="R40" s="24">
        <v>43003</v>
      </c>
      <c r="S40" s="233">
        <v>447.11999500000002</v>
      </c>
      <c r="T40" s="28">
        <f t="shared" si="4"/>
        <v>3.3277856273622897E-2</v>
      </c>
      <c r="V40" s="24">
        <v>43003</v>
      </c>
      <c r="W40" s="25">
        <v>109.05368799999999</v>
      </c>
      <c r="X40" s="28">
        <f t="shared" si="5"/>
        <v>-1.050291364599365E-2</v>
      </c>
      <c r="Z40" s="24">
        <v>43003</v>
      </c>
      <c r="AA40" s="27">
        <v>2519.36</v>
      </c>
      <c r="AB40" s="28">
        <f t="shared" si="6"/>
        <v>6.8499172734612923E-3</v>
      </c>
    </row>
    <row r="41" spans="2:28" x14ac:dyDescent="0.35">
      <c r="B41" s="24">
        <v>43010</v>
      </c>
      <c r="C41" s="25">
        <v>152.68206799999999</v>
      </c>
      <c r="D41" s="28">
        <f t="shared" si="0"/>
        <v>-3.3786559484718648E-3</v>
      </c>
      <c r="F41" s="24">
        <v>43010</v>
      </c>
      <c r="G41" s="25">
        <v>67.829398999999995</v>
      </c>
      <c r="H41" s="28">
        <f t="shared" si="1"/>
        <v>1.8343282974162767E-2</v>
      </c>
      <c r="J41" s="24">
        <v>43010</v>
      </c>
      <c r="K41" s="233">
        <v>52.184829999999998</v>
      </c>
      <c r="L41" s="28">
        <f t="shared" si="2"/>
        <v>1.6787184803957356E-2</v>
      </c>
      <c r="N41" s="24">
        <v>43010</v>
      </c>
      <c r="O41" s="25">
        <v>26.628235</v>
      </c>
      <c r="P41" s="28">
        <f t="shared" si="3"/>
        <v>9.8036706122914818E-3</v>
      </c>
      <c r="R41" s="24">
        <v>43010</v>
      </c>
      <c r="S41" s="233">
        <v>469.95001200000002</v>
      </c>
      <c r="T41" s="28">
        <f t="shared" si="4"/>
        <v>5.1060156681205893E-2</v>
      </c>
      <c r="V41" s="24">
        <v>43010</v>
      </c>
      <c r="W41" s="25">
        <v>111.746239</v>
      </c>
      <c r="X41" s="28">
        <f t="shared" si="5"/>
        <v>2.469014161171712E-2</v>
      </c>
      <c r="Z41" s="24">
        <v>43010</v>
      </c>
      <c r="AA41" s="27">
        <v>2549.33</v>
      </c>
      <c r="AB41" s="28">
        <f t="shared" si="6"/>
        <v>1.1895878318302966E-2</v>
      </c>
    </row>
    <row r="42" spans="2:28" x14ac:dyDescent="0.35">
      <c r="B42" s="24">
        <v>43017</v>
      </c>
      <c r="C42" s="25">
        <v>150.37318400000001</v>
      </c>
      <c r="D42" s="28">
        <f t="shared" si="0"/>
        <v>-1.5122168767061628E-2</v>
      </c>
      <c r="F42" s="24">
        <v>43017</v>
      </c>
      <c r="G42" s="25">
        <v>67.964332999999996</v>
      </c>
      <c r="H42" s="28">
        <f t="shared" si="1"/>
        <v>1.9893143974341054E-3</v>
      </c>
      <c r="J42" s="24">
        <v>43017</v>
      </c>
      <c r="K42" s="233">
        <v>52.889938000000001</v>
      </c>
      <c r="L42" s="28">
        <f t="shared" si="2"/>
        <v>1.3511742780420999E-2</v>
      </c>
      <c r="N42" s="24">
        <v>43017</v>
      </c>
      <c r="O42" s="25">
        <v>26.842438000000001</v>
      </c>
      <c r="P42" s="28">
        <f t="shared" si="3"/>
        <v>8.044205708714891E-3</v>
      </c>
      <c r="R42" s="24">
        <v>43017</v>
      </c>
      <c r="S42" s="233">
        <v>442.959991</v>
      </c>
      <c r="T42" s="28">
        <f t="shared" si="4"/>
        <v>-5.7431684883114786E-2</v>
      </c>
      <c r="V42" s="24">
        <v>43017</v>
      </c>
      <c r="W42" s="25">
        <v>114.43885</v>
      </c>
      <c r="X42" s="28">
        <f t="shared" si="5"/>
        <v>2.40957639746604E-2</v>
      </c>
      <c r="Z42" s="24">
        <v>43017</v>
      </c>
      <c r="AA42" s="27">
        <v>2553.17</v>
      </c>
      <c r="AB42" s="28">
        <f t="shared" si="6"/>
        <v>1.5062781201335973E-3</v>
      </c>
    </row>
    <row r="43" spans="2:28" x14ac:dyDescent="0.35">
      <c r="B43" s="24">
        <v>43024</v>
      </c>
      <c r="C43" s="25">
        <v>150.33210800000001</v>
      </c>
      <c r="D43" s="28">
        <f t="shared" si="0"/>
        <v>-2.7316040604685732E-4</v>
      </c>
      <c r="F43" s="24">
        <v>43024</v>
      </c>
      <c r="G43" s="25">
        <v>72.537079000000006</v>
      </c>
      <c r="H43" s="28">
        <f t="shared" si="1"/>
        <v>6.7281554870846971E-2</v>
      </c>
      <c r="J43" s="24">
        <v>43024</v>
      </c>
      <c r="K43" s="233">
        <v>52.185172999999999</v>
      </c>
      <c r="L43" s="28">
        <f t="shared" si="2"/>
        <v>-1.3325124336504235E-2</v>
      </c>
      <c r="N43" s="24">
        <v>43024</v>
      </c>
      <c r="O43" s="25">
        <v>26.901529</v>
      </c>
      <c r="P43" s="28">
        <f t="shared" si="3"/>
        <v>2.2014021230112313E-3</v>
      </c>
      <c r="R43" s="24">
        <v>43024</v>
      </c>
      <c r="S43" s="233">
        <v>432.98001099999999</v>
      </c>
      <c r="T43" s="28">
        <f t="shared" si="4"/>
        <v>-2.2530206345430459E-2</v>
      </c>
      <c r="V43" s="24">
        <v>43024</v>
      </c>
      <c r="W43" s="25">
        <v>119.44652600000001</v>
      </c>
      <c r="X43" s="28">
        <f t="shared" si="5"/>
        <v>4.3758531302962256E-2</v>
      </c>
      <c r="Z43" s="24">
        <v>43024</v>
      </c>
      <c r="AA43" s="27">
        <v>2575.21</v>
      </c>
      <c r="AB43" s="28">
        <f t="shared" si="6"/>
        <v>8.632405989417169E-3</v>
      </c>
    </row>
    <row r="44" spans="2:28" x14ac:dyDescent="0.35">
      <c r="B44" s="24">
        <v>43031</v>
      </c>
      <c r="C44" s="25">
        <v>144.02165199999999</v>
      </c>
      <c r="D44" s="28">
        <f t="shared" si="0"/>
        <v>-4.1976767863855291E-2</v>
      </c>
      <c r="F44" s="24">
        <v>43031</v>
      </c>
      <c r="G44" s="25">
        <v>69.389526000000004</v>
      </c>
      <c r="H44" s="28">
        <f t="shared" si="1"/>
        <v>-4.3392331803159601E-2</v>
      </c>
      <c r="J44" s="24">
        <v>43031</v>
      </c>
      <c r="K44" s="233">
        <v>48.556023000000003</v>
      </c>
      <c r="L44" s="28">
        <f t="shared" si="2"/>
        <v>-6.9543699701829054E-2</v>
      </c>
      <c r="N44" s="24">
        <v>43031</v>
      </c>
      <c r="O44" s="25">
        <v>26.295843000000001</v>
      </c>
      <c r="P44" s="28">
        <f t="shared" si="3"/>
        <v>-2.2514928426558889E-2</v>
      </c>
      <c r="R44" s="24">
        <v>43031</v>
      </c>
      <c r="S44" s="233">
        <v>409.22000100000002</v>
      </c>
      <c r="T44" s="28">
        <f t="shared" si="4"/>
        <v>-5.4875535582172508E-2</v>
      </c>
      <c r="V44" s="24">
        <v>43031</v>
      </c>
      <c r="W44" s="25">
        <v>118.926483</v>
      </c>
      <c r="X44" s="28">
        <f t="shared" si="5"/>
        <v>-4.3537724990009297E-3</v>
      </c>
      <c r="Z44" s="24">
        <v>43031</v>
      </c>
      <c r="AA44" s="27">
        <v>2581.0700000000002</v>
      </c>
      <c r="AB44" s="28">
        <f t="shared" si="6"/>
        <v>2.2755425771101567E-3</v>
      </c>
    </row>
    <row r="45" spans="2:28" x14ac:dyDescent="0.35">
      <c r="B45" s="24">
        <v>43038</v>
      </c>
      <c r="C45" s="25">
        <v>142.50981100000001</v>
      </c>
      <c r="D45" s="28">
        <f t="shared" si="0"/>
        <v>-1.0497317445018473E-2</v>
      </c>
      <c r="F45" s="24">
        <v>43038</v>
      </c>
      <c r="G45" s="25">
        <v>69.676345999999995</v>
      </c>
      <c r="H45" s="28">
        <f t="shared" si="1"/>
        <v>4.1334768593173088E-3</v>
      </c>
      <c r="J45" s="24">
        <v>43038</v>
      </c>
      <c r="K45" s="233">
        <v>50.402999999999999</v>
      </c>
      <c r="L45" s="28">
        <f t="shared" si="2"/>
        <v>3.8038061725112815E-2</v>
      </c>
      <c r="N45" s="24">
        <v>43038</v>
      </c>
      <c r="O45" s="25">
        <v>26.258914999999998</v>
      </c>
      <c r="P45" s="28">
        <f t="shared" si="3"/>
        <v>-1.4043284332053707E-3</v>
      </c>
      <c r="R45" s="24">
        <v>43038</v>
      </c>
      <c r="S45" s="233">
        <v>408.41000400000001</v>
      </c>
      <c r="T45" s="28">
        <f t="shared" si="4"/>
        <v>-1.9793680612399944E-3</v>
      </c>
      <c r="V45" s="24">
        <v>43038</v>
      </c>
      <c r="W45" s="25">
        <v>117.500519</v>
      </c>
      <c r="X45" s="28">
        <f t="shared" si="5"/>
        <v>-1.1990298241645658E-2</v>
      </c>
      <c r="Z45" s="24">
        <v>43038</v>
      </c>
      <c r="AA45" s="27">
        <v>2587.84</v>
      </c>
      <c r="AB45" s="28">
        <f t="shared" si="6"/>
        <v>2.6229431979760687E-3</v>
      </c>
    </row>
    <row r="46" spans="2:28" x14ac:dyDescent="0.35">
      <c r="B46" s="24">
        <v>43045</v>
      </c>
      <c r="C46" s="25">
        <v>141.614227</v>
      </c>
      <c r="D46" s="28">
        <f t="shared" si="0"/>
        <v>-6.2843673268222489E-3</v>
      </c>
      <c r="F46" s="24">
        <v>43045</v>
      </c>
      <c r="G46" s="25">
        <v>72.031357</v>
      </c>
      <c r="H46" s="28">
        <f t="shared" si="1"/>
        <v>3.3799289647020281E-2</v>
      </c>
      <c r="J46" s="24">
        <v>43045</v>
      </c>
      <c r="K46" s="233">
        <v>49.301299999999998</v>
      </c>
      <c r="L46" s="28">
        <f t="shared" si="2"/>
        <v>-2.1857825923060181E-2</v>
      </c>
      <c r="N46" s="24">
        <v>43045</v>
      </c>
      <c r="O46" s="25">
        <v>25.985610999999999</v>
      </c>
      <c r="P46" s="28">
        <f t="shared" si="3"/>
        <v>-1.0408046181649144E-2</v>
      </c>
      <c r="R46" s="24">
        <v>43045</v>
      </c>
      <c r="S46" s="233">
        <v>404.540009</v>
      </c>
      <c r="T46" s="28">
        <f t="shared" si="4"/>
        <v>-9.4757595604832989E-3</v>
      </c>
      <c r="V46" s="24">
        <v>43045</v>
      </c>
      <c r="W46" s="25">
        <v>117.064339</v>
      </c>
      <c r="X46" s="28">
        <f t="shared" si="5"/>
        <v>-3.7121538161034584E-3</v>
      </c>
      <c r="Z46" s="24">
        <v>43045</v>
      </c>
      <c r="AA46" s="27">
        <v>2582.3000000000002</v>
      </c>
      <c r="AB46" s="28">
        <f t="shared" si="6"/>
        <v>-2.1407815011746933E-3</v>
      </c>
    </row>
    <row r="47" spans="2:28" x14ac:dyDescent="0.35">
      <c r="B47" s="24">
        <v>43052</v>
      </c>
      <c r="C47" s="25">
        <v>139.683289</v>
      </c>
      <c r="D47" s="28">
        <f t="shared" si="0"/>
        <v>-1.3635197825145107E-2</v>
      </c>
      <c r="F47" s="24">
        <v>43052</v>
      </c>
      <c r="G47" s="25">
        <v>70.657600000000002</v>
      </c>
      <c r="H47" s="28">
        <f t="shared" si="1"/>
        <v>-1.9071652363844782E-2</v>
      </c>
      <c r="J47" s="24">
        <v>43052</v>
      </c>
      <c r="K47" s="233">
        <v>49.673931000000003</v>
      </c>
      <c r="L47" s="28">
        <f t="shared" si="2"/>
        <v>7.5582388294022085E-3</v>
      </c>
      <c r="N47" s="24">
        <v>43052</v>
      </c>
      <c r="O47" s="25">
        <v>26.364685000000001</v>
      </c>
      <c r="P47" s="28">
        <f t="shared" si="3"/>
        <v>1.4587842479439894E-2</v>
      </c>
      <c r="R47" s="24">
        <v>43052</v>
      </c>
      <c r="S47" s="233">
        <v>391.58999599999999</v>
      </c>
      <c r="T47" s="28">
        <f t="shared" si="4"/>
        <v>-3.2011698996130766E-2</v>
      </c>
      <c r="V47" s="24">
        <v>43052</v>
      </c>
      <c r="W47" s="25">
        <v>115.755768</v>
      </c>
      <c r="X47" s="28">
        <f t="shared" si="5"/>
        <v>-1.1178220551008256E-2</v>
      </c>
      <c r="Z47" s="24">
        <v>43052</v>
      </c>
      <c r="AA47" s="27">
        <v>2578.85</v>
      </c>
      <c r="AB47" s="28">
        <f t="shared" si="6"/>
        <v>-1.3360182782791163E-3</v>
      </c>
    </row>
    <row r="48" spans="2:28" x14ac:dyDescent="0.35">
      <c r="B48" s="24">
        <v>43059</v>
      </c>
      <c r="C48" s="25">
        <v>140.737427</v>
      </c>
      <c r="D48" s="28">
        <f t="shared" si="0"/>
        <v>7.5466292893489051E-3</v>
      </c>
      <c r="F48" s="24">
        <v>43059</v>
      </c>
      <c r="G48" s="25">
        <v>71.495445000000004</v>
      </c>
      <c r="H48" s="28">
        <f t="shared" si="1"/>
        <v>1.1857818550304655E-2</v>
      </c>
      <c r="J48" s="24">
        <v>43059</v>
      </c>
      <c r="K48" s="233">
        <v>49.763035000000002</v>
      </c>
      <c r="L48" s="28">
        <f t="shared" si="2"/>
        <v>1.7937779073695648E-3</v>
      </c>
      <c r="N48" s="24">
        <v>43059</v>
      </c>
      <c r="O48" s="25">
        <v>26.454129999999999</v>
      </c>
      <c r="P48" s="28">
        <f t="shared" si="3"/>
        <v>3.3926064354645735E-3</v>
      </c>
      <c r="R48" s="24">
        <v>43059</v>
      </c>
      <c r="S48" s="233">
        <v>384.85000600000001</v>
      </c>
      <c r="T48" s="28">
        <f t="shared" si="4"/>
        <v>-1.7211854411112171E-2</v>
      </c>
      <c r="V48" s="24">
        <v>43059</v>
      </c>
      <c r="W48" s="25">
        <v>115.764168</v>
      </c>
      <c r="X48" s="28">
        <f t="shared" si="5"/>
        <v>7.2566578280586214E-5</v>
      </c>
      <c r="Z48" s="24">
        <v>43059</v>
      </c>
      <c r="AA48" s="27">
        <v>2602.42</v>
      </c>
      <c r="AB48" s="28">
        <f t="shared" si="6"/>
        <v>9.1397328266475952E-3</v>
      </c>
    </row>
    <row r="49" spans="2:28" x14ac:dyDescent="0.35">
      <c r="B49" s="24">
        <v>43066</v>
      </c>
      <c r="C49" s="25">
        <v>146.594559</v>
      </c>
      <c r="D49" s="28">
        <f t="shared" si="0"/>
        <v>4.1617444093247524E-2</v>
      </c>
      <c r="F49" s="24">
        <v>43066</v>
      </c>
      <c r="G49" s="25">
        <v>72.703140000000005</v>
      </c>
      <c r="H49" s="28">
        <f t="shared" si="1"/>
        <v>1.689191528215539E-2</v>
      </c>
      <c r="J49" s="24">
        <v>43066</v>
      </c>
      <c r="K49" s="233">
        <v>51.229278999999998</v>
      </c>
      <c r="L49" s="28">
        <f t="shared" si="2"/>
        <v>2.9464521205348371E-2</v>
      </c>
      <c r="N49" s="24">
        <v>43066</v>
      </c>
      <c r="O49" s="25">
        <v>27.095175000000001</v>
      </c>
      <c r="P49" s="28">
        <f t="shared" si="3"/>
        <v>2.4232322136467976E-2</v>
      </c>
      <c r="R49" s="24">
        <v>43066</v>
      </c>
      <c r="S49" s="233">
        <v>373.47000100000002</v>
      </c>
      <c r="T49" s="28">
        <f t="shared" si="4"/>
        <v>-2.9569974854047332E-2</v>
      </c>
      <c r="V49" s="24">
        <v>43066</v>
      </c>
      <c r="W49" s="25">
        <v>117.416634</v>
      </c>
      <c r="X49" s="28">
        <f t="shared" si="5"/>
        <v>1.4274416933571343E-2</v>
      </c>
      <c r="Z49" s="24">
        <v>43066</v>
      </c>
      <c r="AA49" s="27">
        <v>2642.22</v>
      </c>
      <c r="AB49" s="28">
        <f t="shared" si="6"/>
        <v>1.529345762790002E-2</v>
      </c>
    </row>
    <row r="50" spans="2:28" x14ac:dyDescent="0.35">
      <c r="B50" s="24">
        <v>43073</v>
      </c>
      <c r="C50" s="25">
        <v>145.11376999999999</v>
      </c>
      <c r="D50" s="28">
        <f t="shared" si="0"/>
        <v>-1.0101254849438246E-2</v>
      </c>
      <c r="F50" s="24">
        <v>43073</v>
      </c>
      <c r="G50" s="25">
        <v>72.423866000000004</v>
      </c>
      <c r="H50" s="28">
        <f t="shared" si="1"/>
        <v>-3.841292136763319E-3</v>
      </c>
      <c r="J50" s="24">
        <v>43073</v>
      </c>
      <c r="K50" s="233">
        <v>50.565010000000001</v>
      </c>
      <c r="L50" s="28">
        <f t="shared" si="2"/>
        <v>-1.2966588891481279E-2</v>
      </c>
      <c r="N50" s="24">
        <v>43073</v>
      </c>
      <c r="O50" s="25">
        <v>26.640476</v>
      </c>
      <c r="P50" s="28">
        <f t="shared" si="3"/>
        <v>-1.6781548744379871E-2</v>
      </c>
      <c r="R50" s="24">
        <v>43073</v>
      </c>
      <c r="S50" s="233">
        <v>380.77999899999998</v>
      </c>
      <c r="T50" s="28">
        <f t="shared" si="4"/>
        <v>1.9573186548924371E-2</v>
      </c>
      <c r="V50" s="24">
        <v>43073</v>
      </c>
      <c r="W50" s="25">
        <v>118.650459</v>
      </c>
      <c r="X50" s="28">
        <f t="shared" si="5"/>
        <v>1.050809376804307E-2</v>
      </c>
      <c r="Z50" s="24">
        <v>43073</v>
      </c>
      <c r="AA50" s="27">
        <v>2651.5</v>
      </c>
      <c r="AB50" s="28">
        <f t="shared" si="6"/>
        <v>3.512198075860562E-3</v>
      </c>
    </row>
    <row r="51" spans="2:28" x14ac:dyDescent="0.35">
      <c r="B51" s="24">
        <v>43080</v>
      </c>
      <c r="C51" s="25">
        <v>146.46220400000001</v>
      </c>
      <c r="D51" s="28">
        <f t="shared" si="0"/>
        <v>9.29225393289701E-3</v>
      </c>
      <c r="F51" s="24">
        <v>43080</v>
      </c>
      <c r="G51" s="25">
        <v>73.556067999999996</v>
      </c>
      <c r="H51" s="28">
        <f t="shared" si="1"/>
        <v>1.5632995896684099E-2</v>
      </c>
      <c r="J51" s="24">
        <v>43080</v>
      </c>
      <c r="K51" s="233">
        <v>50.556910999999999</v>
      </c>
      <c r="L51" s="28">
        <f t="shared" si="2"/>
        <v>-1.6017004644119925E-4</v>
      </c>
      <c r="N51" s="24">
        <v>43080</v>
      </c>
      <c r="O51" s="25">
        <v>27.728757999999999</v>
      </c>
      <c r="P51" s="28">
        <f t="shared" si="3"/>
        <v>4.085069651157891E-2</v>
      </c>
      <c r="R51" s="24">
        <v>43080</v>
      </c>
      <c r="S51" s="233">
        <v>388.95001200000002</v>
      </c>
      <c r="T51" s="28">
        <f t="shared" si="4"/>
        <v>2.1455993018162811E-2</v>
      </c>
      <c r="V51" s="24">
        <v>43080</v>
      </c>
      <c r="W51" s="25">
        <v>120.228661</v>
      </c>
      <c r="X51" s="28">
        <f t="shared" si="5"/>
        <v>1.3301271763306088E-2</v>
      </c>
      <c r="Z51" s="24">
        <v>43080</v>
      </c>
      <c r="AA51" s="27">
        <v>2675.81</v>
      </c>
      <c r="AB51" s="28">
        <f t="shared" si="6"/>
        <v>9.1683952479728603E-3</v>
      </c>
    </row>
    <row r="52" spans="2:28" x14ac:dyDescent="0.35">
      <c r="B52" s="24">
        <v>43087</v>
      </c>
      <c r="C52" s="25">
        <v>145.949265</v>
      </c>
      <c r="D52" s="28">
        <f t="shared" si="0"/>
        <v>-3.5021936444437074E-3</v>
      </c>
      <c r="F52" s="24">
        <v>43087</v>
      </c>
      <c r="G52" s="25">
        <v>74.129729999999995</v>
      </c>
      <c r="H52" s="28">
        <f t="shared" si="1"/>
        <v>7.7989758778296281E-3</v>
      </c>
      <c r="J52" s="24">
        <v>43087</v>
      </c>
      <c r="K52" s="233">
        <v>49.382305000000002</v>
      </c>
      <c r="L52" s="28">
        <f t="shared" si="2"/>
        <v>-2.3233341926289675E-2</v>
      </c>
      <c r="N52" s="24">
        <v>43087</v>
      </c>
      <c r="O52" s="25">
        <v>26.938638999999998</v>
      </c>
      <c r="P52" s="28">
        <f t="shared" si="3"/>
        <v>-2.849456870733269E-2</v>
      </c>
      <c r="R52" s="24">
        <v>43087</v>
      </c>
      <c r="S52" s="233">
        <v>381</v>
      </c>
      <c r="T52" s="28">
        <f t="shared" si="4"/>
        <v>-2.0439675420295456E-2</v>
      </c>
      <c r="V52" s="24">
        <v>43087</v>
      </c>
      <c r="W52" s="25">
        <v>118.25380699999999</v>
      </c>
      <c r="X52" s="28">
        <f t="shared" si="5"/>
        <v>-1.6425817135233722E-2</v>
      </c>
      <c r="Z52" s="24">
        <v>43087</v>
      </c>
      <c r="AA52" s="27">
        <v>2683.34</v>
      </c>
      <c r="AB52" s="28">
        <f t="shared" si="6"/>
        <v>2.8141011506797042E-3</v>
      </c>
    </row>
    <row r="53" spans="2:28" x14ac:dyDescent="0.35">
      <c r="B53" s="24">
        <v>43094</v>
      </c>
      <c r="C53" s="25">
        <v>143.864532</v>
      </c>
      <c r="D53" s="28">
        <f t="shared" si="0"/>
        <v>-1.4283956825681843E-2</v>
      </c>
      <c r="F53" s="24">
        <v>43094</v>
      </c>
      <c r="G53" s="25">
        <v>72.997505000000004</v>
      </c>
      <c r="H53" s="28">
        <f t="shared" si="1"/>
        <v>-1.5273561633099009E-2</v>
      </c>
      <c r="J53" s="24">
        <v>43094</v>
      </c>
      <c r="K53" s="233">
        <v>49.641533000000003</v>
      </c>
      <c r="L53" s="28">
        <f t="shared" si="2"/>
        <v>5.2494106947822416E-3</v>
      </c>
      <c r="N53" s="24">
        <v>43094</v>
      </c>
      <c r="O53" s="25">
        <v>26.998280999999999</v>
      </c>
      <c r="P53" s="28">
        <f t="shared" si="3"/>
        <v>2.2139945525829763E-3</v>
      </c>
      <c r="R53" s="24">
        <v>43094</v>
      </c>
      <c r="S53" s="233">
        <v>375.959991</v>
      </c>
      <c r="T53" s="28">
        <f t="shared" si="4"/>
        <v>-1.3228370078740115E-2</v>
      </c>
      <c r="V53" s="24">
        <v>43094</v>
      </c>
      <c r="W53" s="25">
        <v>117.916237</v>
      </c>
      <c r="X53" s="28">
        <f t="shared" si="5"/>
        <v>-2.8546226845788114E-3</v>
      </c>
      <c r="Z53" s="24">
        <v>43094</v>
      </c>
      <c r="AA53" s="27">
        <v>2673.61</v>
      </c>
      <c r="AB53" s="28">
        <f t="shared" si="6"/>
        <v>-3.6260779476324778E-3</v>
      </c>
    </row>
    <row r="54" spans="2:28" x14ac:dyDescent="0.35">
      <c r="B54" s="24">
        <v>43101</v>
      </c>
      <c r="C54" s="25">
        <v>149.4487</v>
      </c>
      <c r="D54" s="28">
        <f t="shared" si="0"/>
        <v>3.8815460088522658E-2</v>
      </c>
      <c r="F54" s="24">
        <v>43101</v>
      </c>
      <c r="G54" s="25">
        <v>76.318672000000007</v>
      </c>
      <c r="H54" s="28">
        <f t="shared" si="1"/>
        <v>4.5496993356142879E-2</v>
      </c>
      <c r="J54" s="24">
        <v>43101</v>
      </c>
      <c r="K54" s="233">
        <v>50.135669999999998</v>
      </c>
      <c r="L54" s="28">
        <f t="shared" si="2"/>
        <v>9.9541043585418265E-3</v>
      </c>
      <c r="N54" s="24">
        <v>43101</v>
      </c>
      <c r="O54" s="25">
        <v>27.475322999999999</v>
      </c>
      <c r="P54" s="28">
        <f t="shared" si="3"/>
        <v>1.7669347170658822E-2</v>
      </c>
      <c r="R54" s="24">
        <v>43101</v>
      </c>
      <c r="S54" s="233">
        <v>385.10000600000001</v>
      </c>
      <c r="T54" s="28">
        <f t="shared" si="4"/>
        <v>2.4311137405043759E-2</v>
      </c>
      <c r="V54" s="24">
        <v>43101</v>
      </c>
      <c r="W54" s="25">
        <v>119.595688</v>
      </c>
      <c r="X54" s="28">
        <f t="shared" si="5"/>
        <v>1.4242745890881814E-2</v>
      </c>
      <c r="Z54" s="24">
        <v>43101</v>
      </c>
      <c r="AA54" s="27">
        <v>2743.15</v>
      </c>
      <c r="AB54" s="28">
        <f t="shared" si="6"/>
        <v>2.6009777043024318E-2</v>
      </c>
    </row>
    <row r="55" spans="2:28" x14ac:dyDescent="0.35">
      <c r="B55" s="24">
        <v>43108</v>
      </c>
      <c r="C55" s="25">
        <v>153.08047500000001</v>
      </c>
      <c r="D55" s="28">
        <f t="shared" si="0"/>
        <v>2.4301148153178964E-2</v>
      </c>
      <c r="F55" s="24">
        <v>43108</v>
      </c>
      <c r="G55" s="25">
        <v>75.737472999999994</v>
      </c>
      <c r="H55" s="28">
        <f t="shared" si="1"/>
        <v>-7.6154233920633363E-3</v>
      </c>
      <c r="J55" s="24">
        <v>43108</v>
      </c>
      <c r="K55" s="233">
        <v>51.214809000000002</v>
      </c>
      <c r="L55" s="28">
        <f t="shared" si="2"/>
        <v>2.1524375758816161E-2</v>
      </c>
      <c r="N55" s="24">
        <v>43108</v>
      </c>
      <c r="O55" s="25">
        <v>27.236801</v>
      </c>
      <c r="P55" s="28">
        <f t="shared" si="3"/>
        <v>-8.6813174134476867E-3</v>
      </c>
      <c r="R55" s="24">
        <v>43108</v>
      </c>
      <c r="S55" s="233">
        <v>366.959991</v>
      </c>
      <c r="T55" s="28">
        <f t="shared" si="4"/>
        <v>-4.710468636035281E-2</v>
      </c>
      <c r="V55" s="24">
        <v>43108</v>
      </c>
      <c r="W55" s="25">
        <v>123.01365699999999</v>
      </c>
      <c r="X55" s="28">
        <f t="shared" si="5"/>
        <v>2.8579366506926274E-2</v>
      </c>
      <c r="Z55" s="24">
        <v>43108</v>
      </c>
      <c r="AA55" s="27">
        <v>2786.24</v>
      </c>
      <c r="AB55" s="28">
        <f t="shared" si="6"/>
        <v>1.5708218653737394E-2</v>
      </c>
    </row>
    <row r="56" spans="2:28" x14ac:dyDescent="0.35">
      <c r="B56" s="24">
        <v>43115</v>
      </c>
      <c r="C56" s="25">
        <v>156.58818099999999</v>
      </c>
      <c r="D56" s="28">
        <f t="shared" si="0"/>
        <v>2.2914130623124862E-2</v>
      </c>
      <c r="F56" s="24">
        <v>43115</v>
      </c>
      <c r="G56" s="25">
        <v>79.549712999999997</v>
      </c>
      <c r="H56" s="28">
        <f t="shared" si="1"/>
        <v>5.0334924694411143E-2</v>
      </c>
      <c r="J56" s="24">
        <v>43115</v>
      </c>
      <c r="K56" s="233">
        <v>50.782649999999997</v>
      </c>
      <c r="L56" s="28">
        <f t="shared" si="2"/>
        <v>-8.4381648284582722E-3</v>
      </c>
      <c r="N56" s="24">
        <v>43115</v>
      </c>
      <c r="O56" s="25">
        <v>27.534953999999999</v>
      </c>
      <c r="P56" s="28">
        <f t="shared" si="3"/>
        <v>1.0946696713758586E-2</v>
      </c>
      <c r="R56" s="24">
        <v>43115</v>
      </c>
      <c r="S56" s="233">
        <v>371.52999899999998</v>
      </c>
      <c r="T56" s="28">
        <f t="shared" si="4"/>
        <v>1.2453695531074782E-2</v>
      </c>
      <c r="V56" s="24">
        <v>43115</v>
      </c>
      <c r="W56" s="25">
        <v>124.36397599999999</v>
      </c>
      <c r="X56" s="28">
        <f t="shared" si="5"/>
        <v>1.0976984449783567E-2</v>
      </c>
      <c r="Z56" s="24">
        <v>43115</v>
      </c>
      <c r="AA56" s="27">
        <v>2810.3</v>
      </c>
      <c r="AB56" s="28">
        <f t="shared" si="6"/>
        <v>8.6352934420581562E-3</v>
      </c>
    </row>
    <row r="57" spans="2:28" x14ac:dyDescent="0.35">
      <c r="B57" s="24">
        <v>43122</v>
      </c>
      <c r="C57" s="25">
        <v>162.15580700000001</v>
      </c>
      <c r="D57" s="28">
        <f t="shared" si="0"/>
        <v>3.5555850795661481E-2</v>
      </c>
      <c r="F57" s="24">
        <v>43122</v>
      </c>
      <c r="G57" s="25">
        <v>93.667038000000005</v>
      </c>
      <c r="H57" s="28">
        <f t="shared" si="1"/>
        <v>0.17746544227004324</v>
      </c>
      <c r="J57" s="24">
        <v>43122</v>
      </c>
      <c r="K57" s="233">
        <v>52.388984999999998</v>
      </c>
      <c r="L57" s="28">
        <f t="shared" si="2"/>
        <v>3.1631571018842175E-2</v>
      </c>
      <c r="N57" s="24">
        <v>43122</v>
      </c>
      <c r="O57" s="25">
        <v>29.077926999999999</v>
      </c>
      <c r="P57" s="28">
        <f t="shared" si="3"/>
        <v>5.603688315586064E-2</v>
      </c>
      <c r="R57" s="24">
        <v>43122</v>
      </c>
      <c r="S57" s="233">
        <v>374.35998499999999</v>
      </c>
      <c r="T57" s="28">
        <f t="shared" si="4"/>
        <v>7.6171130396391895E-3</v>
      </c>
      <c r="V57" s="24">
        <v>43122</v>
      </c>
      <c r="W57" s="25">
        <v>122.650757</v>
      </c>
      <c r="X57" s="28">
        <f t="shared" si="5"/>
        <v>-1.3775846150174464E-2</v>
      </c>
      <c r="Z57" s="24">
        <v>43122</v>
      </c>
      <c r="AA57" s="27">
        <v>2872.87</v>
      </c>
      <c r="AB57" s="28">
        <f t="shared" si="6"/>
        <v>2.2264526918834182E-2</v>
      </c>
    </row>
    <row r="58" spans="2:28" x14ac:dyDescent="0.35">
      <c r="B58" s="24">
        <v>43129</v>
      </c>
      <c r="C58" s="25">
        <v>154.71023600000001</v>
      </c>
      <c r="D58" s="28">
        <f t="shared" si="0"/>
        <v>-4.5916153961726436E-2</v>
      </c>
      <c r="F58" s="24">
        <v>43129</v>
      </c>
      <c r="G58" s="25">
        <v>87.554848000000007</v>
      </c>
      <c r="H58" s="28">
        <f t="shared" si="1"/>
        <v>-6.5254438813363569E-2</v>
      </c>
      <c r="J58" s="24">
        <v>43129</v>
      </c>
      <c r="K58" s="233">
        <v>51.761119999999998</v>
      </c>
      <c r="L58" s="28">
        <f t="shared" si="2"/>
        <v>-1.1984675786331778E-2</v>
      </c>
      <c r="N58" s="24">
        <v>43129</v>
      </c>
      <c r="O58" s="25">
        <v>27.288971</v>
      </c>
      <c r="P58" s="28">
        <f t="shared" si="3"/>
        <v>-6.1522817634145577E-2</v>
      </c>
      <c r="R58" s="24">
        <v>43129</v>
      </c>
      <c r="S58" s="233">
        <v>347.85998499999999</v>
      </c>
      <c r="T58" s="28">
        <f t="shared" si="4"/>
        <v>-7.078748013092262E-2</v>
      </c>
      <c r="V58" s="24">
        <v>43129</v>
      </c>
      <c r="W58" s="25">
        <v>116.19458</v>
      </c>
      <c r="X58" s="28">
        <f t="shared" si="5"/>
        <v>-5.263870487158917E-2</v>
      </c>
      <c r="Z58" s="24">
        <v>43129</v>
      </c>
      <c r="AA58" s="27">
        <v>2762.13</v>
      </c>
      <c r="AB58" s="28">
        <f t="shared" si="6"/>
        <v>-3.8546819034623869E-2</v>
      </c>
    </row>
    <row r="59" spans="2:28" x14ac:dyDescent="0.35">
      <c r="B59" s="24">
        <v>43136</v>
      </c>
      <c r="C59" s="25">
        <v>143.50053399999999</v>
      </c>
      <c r="D59" s="28">
        <f t="shared" si="0"/>
        <v>-7.2456110790238948E-2</v>
      </c>
      <c r="F59" s="24">
        <v>43136</v>
      </c>
      <c r="G59" s="25">
        <v>84.612801000000005</v>
      </c>
      <c r="H59" s="28">
        <f t="shared" si="1"/>
        <v>-3.3602331192442936E-2</v>
      </c>
      <c r="J59" s="24">
        <v>43136</v>
      </c>
      <c r="K59" s="233">
        <v>51.125114000000004</v>
      </c>
      <c r="L59" s="28">
        <f t="shared" si="2"/>
        <v>-1.2287330722364431E-2</v>
      </c>
      <c r="N59" s="24">
        <v>43136</v>
      </c>
      <c r="O59" s="25">
        <v>25.698651999999999</v>
      </c>
      <c r="P59" s="28">
        <f t="shared" si="3"/>
        <v>-5.8276986699132061E-2</v>
      </c>
      <c r="R59" s="24">
        <v>43136</v>
      </c>
      <c r="S59" s="233">
        <v>336.38000499999998</v>
      </c>
      <c r="T59" s="28">
        <f t="shared" si="4"/>
        <v>-3.3001726254889618E-2</v>
      </c>
      <c r="V59" s="24">
        <v>43136</v>
      </c>
      <c r="W59" s="25">
        <v>109.31643699999999</v>
      </c>
      <c r="X59" s="28">
        <f t="shared" si="5"/>
        <v>-5.9195041627587153E-2</v>
      </c>
      <c r="Z59" s="24">
        <v>43136</v>
      </c>
      <c r="AA59" s="27">
        <v>2619.5500000000002</v>
      </c>
      <c r="AB59" s="28">
        <f t="shared" si="6"/>
        <v>-5.161958343741968E-2</v>
      </c>
    </row>
    <row r="60" spans="2:28" x14ac:dyDescent="0.35">
      <c r="B60" s="24">
        <v>43143</v>
      </c>
      <c r="C60" s="25">
        <v>151.84787</v>
      </c>
      <c r="D60" s="28">
        <f t="shared" si="0"/>
        <v>5.8169372387143925E-2</v>
      </c>
      <c r="F60" s="24">
        <v>43143</v>
      </c>
      <c r="G60" s="25">
        <v>90.162407000000002</v>
      </c>
      <c r="H60" s="28">
        <f t="shared" si="1"/>
        <v>6.5588255375212068E-2</v>
      </c>
      <c r="J60" s="24">
        <v>43143</v>
      </c>
      <c r="K60" s="233">
        <v>56.229469000000002</v>
      </c>
      <c r="L60" s="28">
        <f t="shared" si="2"/>
        <v>9.9840461969434413E-2</v>
      </c>
      <c r="N60" s="24">
        <v>43143</v>
      </c>
      <c r="O60" s="25">
        <v>27.278482</v>
      </c>
      <c r="P60" s="28">
        <f t="shared" si="3"/>
        <v>6.1475208894225419E-2</v>
      </c>
      <c r="R60" s="24">
        <v>43143</v>
      </c>
      <c r="S60" s="233">
        <v>332.14999399999999</v>
      </c>
      <c r="T60" s="28">
        <f t="shared" si="4"/>
        <v>-1.2575096430003319E-2</v>
      </c>
      <c r="V60" s="24">
        <v>43143</v>
      </c>
      <c r="W60" s="25">
        <v>112.371483</v>
      </c>
      <c r="X60" s="28">
        <f t="shared" si="5"/>
        <v>2.7946812792663644E-2</v>
      </c>
      <c r="Z60" s="24">
        <v>43143</v>
      </c>
      <c r="AA60" s="27">
        <v>2732.22</v>
      </c>
      <c r="AB60" s="28">
        <f t="shared" si="6"/>
        <v>4.3011204214464138E-2</v>
      </c>
    </row>
    <row r="61" spans="2:28" x14ac:dyDescent="0.35">
      <c r="B61" s="24">
        <v>43150</v>
      </c>
      <c r="C61" s="25">
        <v>155.596329</v>
      </c>
      <c r="D61" s="28">
        <f t="shared" si="0"/>
        <v>2.46856212075941E-2</v>
      </c>
      <c r="F61" s="24">
        <v>43150</v>
      </c>
      <c r="G61" s="25">
        <v>90.276459000000003</v>
      </c>
      <c r="H61" s="28">
        <f t="shared" si="1"/>
        <v>1.264961792779129E-3</v>
      </c>
      <c r="J61" s="24">
        <v>43150</v>
      </c>
      <c r="K61" s="233">
        <v>55.405932999999997</v>
      </c>
      <c r="L61" s="28">
        <f t="shared" si="2"/>
        <v>-1.4645985719694443E-2</v>
      </c>
      <c r="N61" s="24">
        <v>43150</v>
      </c>
      <c r="O61" s="25">
        <v>27.278482</v>
      </c>
      <c r="P61" s="28">
        <f t="shared" si="3"/>
        <v>0</v>
      </c>
      <c r="R61" s="24">
        <v>43150</v>
      </c>
      <c r="S61" s="233">
        <v>323.85998499999999</v>
      </c>
      <c r="T61" s="28">
        <f t="shared" si="4"/>
        <v>-2.4958630587842201E-2</v>
      </c>
      <c r="V61" s="24">
        <v>43150</v>
      </c>
      <c r="W61" s="25">
        <v>111.41783100000001</v>
      </c>
      <c r="X61" s="28">
        <f t="shared" si="5"/>
        <v>-8.4866015339496448E-3</v>
      </c>
      <c r="Z61" s="24">
        <v>43150</v>
      </c>
      <c r="AA61" s="27">
        <v>2747.3</v>
      </c>
      <c r="AB61" s="28">
        <f t="shared" si="6"/>
        <v>5.5193212845232598E-3</v>
      </c>
    </row>
    <row r="62" spans="2:28" x14ac:dyDescent="0.35">
      <c r="B62" s="24">
        <v>43157</v>
      </c>
      <c r="C62" s="25">
        <v>154.271027</v>
      </c>
      <c r="D62" s="28">
        <f t="shared" si="0"/>
        <v>-8.5175659896191691E-3</v>
      </c>
      <c r="F62" s="24">
        <v>43157</v>
      </c>
      <c r="G62" s="25">
        <v>87.456017000000003</v>
      </c>
      <c r="H62" s="28">
        <f t="shared" si="1"/>
        <v>-3.1242275464083091E-2</v>
      </c>
      <c r="J62" s="24">
        <v>43157</v>
      </c>
      <c r="K62" s="233">
        <v>53.954535999999997</v>
      </c>
      <c r="L62" s="28">
        <f t="shared" si="2"/>
        <v>-2.6195696406736801E-2</v>
      </c>
      <c r="N62" s="24">
        <v>43157</v>
      </c>
      <c r="O62" s="25">
        <v>27.045265000000001</v>
      </c>
      <c r="P62" s="28">
        <f t="shared" si="3"/>
        <v>-8.5494860014571072E-3</v>
      </c>
      <c r="R62" s="24">
        <v>43157</v>
      </c>
      <c r="S62" s="233">
        <v>330.47000100000002</v>
      </c>
      <c r="T62" s="28">
        <f t="shared" si="4"/>
        <v>2.0410104076303393E-2</v>
      </c>
      <c r="V62" s="24">
        <v>43157</v>
      </c>
      <c r="W62" s="25">
        <v>108.717201</v>
      </c>
      <c r="X62" s="28">
        <f t="shared" si="5"/>
        <v>-2.4238759413652611E-2</v>
      </c>
      <c r="Z62" s="24">
        <v>43157</v>
      </c>
      <c r="AA62" s="27">
        <v>2691.25</v>
      </c>
      <c r="AB62" s="28">
        <f t="shared" si="6"/>
        <v>-2.0401849088195756E-2</v>
      </c>
    </row>
    <row r="63" spans="2:28" x14ac:dyDescent="0.35">
      <c r="B63" s="24">
        <v>43164</v>
      </c>
      <c r="C63" s="25">
        <v>159.28887900000001</v>
      </c>
      <c r="D63" s="28">
        <f t="shared" si="0"/>
        <v>3.2526211159533025E-2</v>
      </c>
      <c r="F63" s="24">
        <v>43164</v>
      </c>
      <c r="G63" s="25">
        <v>90.686974000000006</v>
      </c>
      <c r="H63" s="28">
        <f t="shared" si="1"/>
        <v>3.6943793129751157E-2</v>
      </c>
      <c r="J63" s="24">
        <v>43164</v>
      </c>
      <c r="K63" s="233">
        <v>55.381466000000003</v>
      </c>
      <c r="L63" s="28">
        <f t="shared" si="2"/>
        <v>2.6446895956996119E-2</v>
      </c>
      <c r="N63" s="24">
        <v>43164</v>
      </c>
      <c r="O63" s="25">
        <v>27.662158999999999</v>
      </c>
      <c r="P63" s="28">
        <f t="shared" si="3"/>
        <v>2.2809685909899624E-2</v>
      </c>
      <c r="R63" s="24">
        <v>43164</v>
      </c>
      <c r="S63" s="233">
        <v>341.70001200000002</v>
      </c>
      <c r="T63" s="28">
        <f t="shared" si="4"/>
        <v>3.3981937743268853E-2</v>
      </c>
      <c r="V63" s="24">
        <v>43164</v>
      </c>
      <c r="W63" s="25">
        <v>113.643135</v>
      </c>
      <c r="X63" s="28">
        <f t="shared" si="5"/>
        <v>4.530961020602442E-2</v>
      </c>
      <c r="Z63" s="24">
        <v>43164</v>
      </c>
      <c r="AA63" s="27">
        <v>2786.57</v>
      </c>
      <c r="AB63" s="28">
        <f t="shared" si="6"/>
        <v>3.5418485833720537E-2</v>
      </c>
    </row>
    <row r="64" spans="2:28" x14ac:dyDescent="0.35">
      <c r="B64" s="24">
        <v>43171</v>
      </c>
      <c r="C64" s="25">
        <v>156.904968</v>
      </c>
      <c r="D64" s="28">
        <f t="shared" si="0"/>
        <v>-1.4965960052992888E-2</v>
      </c>
      <c r="F64" s="24">
        <v>43171</v>
      </c>
      <c r="G64" s="25">
        <v>86.444923000000003</v>
      </c>
      <c r="H64" s="28">
        <f t="shared" si="1"/>
        <v>-4.6776850223274713E-2</v>
      </c>
      <c r="J64" s="24">
        <v>43171</v>
      </c>
      <c r="K64" s="233">
        <v>54.305149</v>
      </c>
      <c r="L64" s="28">
        <f t="shared" si="2"/>
        <v>-1.9434606516194441E-2</v>
      </c>
      <c r="N64" s="24">
        <v>43171</v>
      </c>
      <c r="O64" s="25">
        <v>27.66968</v>
      </c>
      <c r="P64" s="28">
        <f t="shared" si="3"/>
        <v>2.7188767152996896E-4</v>
      </c>
      <c r="R64" s="24">
        <v>43171</v>
      </c>
      <c r="S64" s="233">
        <v>343.29998799999998</v>
      </c>
      <c r="T64" s="28">
        <f t="shared" si="4"/>
        <v>4.6823996014373481E-3</v>
      </c>
      <c r="V64" s="24">
        <v>43171</v>
      </c>
      <c r="W64" s="25">
        <v>113.541214</v>
      </c>
      <c r="X64" s="28">
        <f t="shared" si="5"/>
        <v>-8.9685135842132446E-4</v>
      </c>
      <c r="Z64" s="24">
        <v>43171</v>
      </c>
      <c r="AA64" s="27">
        <v>2752.01</v>
      </c>
      <c r="AB64" s="28">
        <f t="shared" si="6"/>
        <v>-1.2402344100453266E-2</v>
      </c>
    </row>
    <row r="65" spans="2:28" x14ac:dyDescent="0.35">
      <c r="B65" s="24">
        <v>43178</v>
      </c>
      <c r="C65" s="25">
        <v>141.226135</v>
      </c>
      <c r="D65" s="28">
        <f t="shared" si="0"/>
        <v>-9.9925663284288091E-2</v>
      </c>
      <c r="F65" s="24">
        <v>43178</v>
      </c>
      <c r="G65" s="25">
        <v>74.091285999999997</v>
      </c>
      <c r="H65" s="28">
        <f t="shared" si="1"/>
        <v>-0.14290760603719899</v>
      </c>
      <c r="J65" s="24">
        <v>43178</v>
      </c>
      <c r="K65" s="233">
        <v>50.603268</v>
      </c>
      <c r="L65" s="28">
        <f t="shared" si="2"/>
        <v>-6.8168140004550959E-2</v>
      </c>
      <c r="N65" s="24">
        <v>43178</v>
      </c>
      <c r="O65" s="25">
        <v>25.946911</v>
      </c>
      <c r="P65" s="28">
        <f t="shared" si="3"/>
        <v>-6.2261977731582041E-2</v>
      </c>
      <c r="R65" s="24">
        <v>43178</v>
      </c>
      <c r="S65" s="233">
        <v>321.290009</v>
      </c>
      <c r="T65" s="28">
        <f t="shared" si="4"/>
        <v>-6.4112961751691011E-2</v>
      </c>
      <c r="V65" s="24">
        <v>43178</v>
      </c>
      <c r="W65" s="25">
        <v>106.253799</v>
      </c>
      <c r="X65" s="28">
        <f t="shared" si="5"/>
        <v>-6.4182993498730689E-2</v>
      </c>
      <c r="Z65" s="24">
        <v>43178</v>
      </c>
      <c r="AA65" s="27">
        <v>2588.2600000000002</v>
      </c>
      <c r="AB65" s="28">
        <f t="shared" si="6"/>
        <v>-5.9501964019026077E-2</v>
      </c>
    </row>
    <row r="66" spans="2:28" x14ac:dyDescent="0.35">
      <c r="B66" s="24">
        <v>43185</v>
      </c>
      <c r="C66" s="25">
        <v>142.10136399999999</v>
      </c>
      <c r="D66" s="28">
        <f t="shared" si="0"/>
        <v>6.1973585838059897E-3</v>
      </c>
      <c r="F66" s="24">
        <v>43185</v>
      </c>
      <c r="G66" s="25">
        <v>71.955093000000005</v>
      </c>
      <c r="H66" s="28">
        <f t="shared" si="1"/>
        <v>-2.8831906089469062E-2</v>
      </c>
      <c r="J66" s="24">
        <v>43185</v>
      </c>
      <c r="K66" s="233">
        <v>51.573582000000002</v>
      </c>
      <c r="L66" s="28">
        <f t="shared" si="2"/>
        <v>1.9174927595585256E-2</v>
      </c>
      <c r="N66" s="24">
        <v>43185</v>
      </c>
      <c r="O66" s="25">
        <v>26.699213</v>
      </c>
      <c r="P66" s="28">
        <f t="shared" si="3"/>
        <v>2.8993894494801387E-2</v>
      </c>
      <c r="R66" s="24">
        <v>43185</v>
      </c>
      <c r="S66" s="233">
        <v>344.35998499999999</v>
      </c>
      <c r="T66" s="28">
        <f t="shared" si="4"/>
        <v>7.1804212249874322E-2</v>
      </c>
      <c r="V66" s="24">
        <v>43185</v>
      </c>
      <c r="W66" s="25">
        <v>108.844292</v>
      </c>
      <c r="X66" s="28">
        <f t="shared" si="5"/>
        <v>2.4380238865624015E-2</v>
      </c>
      <c r="Z66" s="24">
        <v>43185</v>
      </c>
      <c r="AA66" s="27">
        <v>2640.87</v>
      </c>
      <c r="AB66" s="28">
        <f t="shared" si="6"/>
        <v>2.0326396884393194E-2</v>
      </c>
    </row>
    <row r="67" spans="2:28" x14ac:dyDescent="0.35">
      <c r="B67" s="24">
        <v>43192</v>
      </c>
      <c r="C67" s="25">
        <v>140.15083300000001</v>
      </c>
      <c r="D67" s="28">
        <f t="shared" si="0"/>
        <v>-1.3726335519200106E-2</v>
      </c>
      <c r="F67" s="24">
        <v>43192</v>
      </c>
      <c r="G67" s="25">
        <v>68.252799999999993</v>
      </c>
      <c r="H67" s="28">
        <f t="shared" si="1"/>
        <v>-5.1452827668501677E-2</v>
      </c>
      <c r="J67" s="24">
        <v>43192</v>
      </c>
      <c r="K67" s="233">
        <v>49.641109</v>
      </c>
      <c r="L67" s="28">
        <f t="shared" si="2"/>
        <v>-3.7470211008419074E-2</v>
      </c>
      <c r="N67" s="24">
        <v>43192</v>
      </c>
      <c r="O67" s="25">
        <v>26.458473000000001</v>
      </c>
      <c r="P67" s="28">
        <f t="shared" si="3"/>
        <v>-9.0167451752228844E-3</v>
      </c>
      <c r="R67" s="24">
        <v>43192</v>
      </c>
      <c r="S67" s="233">
        <v>319.60998499999999</v>
      </c>
      <c r="T67" s="28">
        <f t="shared" si="4"/>
        <v>-7.1872462185175179E-2</v>
      </c>
      <c r="V67" s="24">
        <v>43192</v>
      </c>
      <c r="W67" s="25">
        <v>108.801857</v>
      </c>
      <c r="X67" s="28">
        <f t="shared" si="5"/>
        <v>-3.8986885963665507E-4</v>
      </c>
      <c r="Z67" s="24">
        <v>43192</v>
      </c>
      <c r="AA67" s="27">
        <v>2604.4699999999998</v>
      </c>
      <c r="AB67" s="28">
        <f t="shared" si="6"/>
        <v>-1.3783336551969616E-2</v>
      </c>
    </row>
    <row r="68" spans="2:28" x14ac:dyDescent="0.35">
      <c r="B68" s="24">
        <v>43199</v>
      </c>
      <c r="C68" s="25">
        <v>142.93489099999999</v>
      </c>
      <c r="D68" s="28">
        <f t="shared" si="0"/>
        <v>1.9864726740510985E-2</v>
      </c>
      <c r="F68" s="24">
        <v>43199</v>
      </c>
      <c r="G68" s="25">
        <v>69.811256</v>
      </c>
      <c r="H68" s="28">
        <f t="shared" si="1"/>
        <v>2.2833583384125111E-2</v>
      </c>
      <c r="J68" s="24">
        <v>43199</v>
      </c>
      <c r="K68" s="233">
        <v>48.128459999999997</v>
      </c>
      <c r="L68" s="28">
        <f t="shared" si="2"/>
        <v>-3.0471700380424682E-2</v>
      </c>
      <c r="N68" s="24">
        <v>43199</v>
      </c>
      <c r="O68" s="25">
        <v>27.323619999999998</v>
      </c>
      <c r="P68" s="28">
        <f t="shared" si="3"/>
        <v>3.2698296685526707E-2</v>
      </c>
      <c r="R68" s="24">
        <v>43199</v>
      </c>
      <c r="S68" s="233">
        <v>321.55999800000001</v>
      </c>
      <c r="T68" s="28">
        <f t="shared" si="4"/>
        <v>6.1012267811344501E-3</v>
      </c>
      <c r="V68" s="24">
        <v>43199</v>
      </c>
      <c r="W68" s="25">
        <v>110.942215</v>
      </c>
      <c r="X68" s="28">
        <f t="shared" si="5"/>
        <v>1.9672072325015666E-2</v>
      </c>
      <c r="Z68" s="24">
        <v>43199</v>
      </c>
      <c r="AA68" s="27">
        <v>2656.3</v>
      </c>
      <c r="AB68" s="28">
        <f t="shared" si="6"/>
        <v>1.9900402001175044E-2</v>
      </c>
    </row>
    <row r="69" spans="2:28" x14ac:dyDescent="0.35">
      <c r="B69" s="24">
        <v>43206</v>
      </c>
      <c r="C69" s="25">
        <v>143.00157200000001</v>
      </c>
      <c r="D69" s="28">
        <f t="shared" si="0"/>
        <v>4.665131063066319E-4</v>
      </c>
      <c r="F69" s="24">
        <v>43206</v>
      </c>
      <c r="G69" s="25">
        <v>71.125816</v>
      </c>
      <c r="H69" s="28">
        <f t="shared" si="1"/>
        <v>1.8830201250067846E-2</v>
      </c>
      <c r="J69" s="24">
        <v>43206</v>
      </c>
      <c r="K69" s="233">
        <v>41.990318000000002</v>
      </c>
      <c r="L69" s="28">
        <f t="shared" si="2"/>
        <v>-0.12753663840480234</v>
      </c>
      <c r="N69" s="24">
        <v>43206</v>
      </c>
      <c r="O69" s="25">
        <v>27.556833000000001</v>
      </c>
      <c r="P69" s="28">
        <f t="shared" si="3"/>
        <v>8.5352160511675823E-3</v>
      </c>
      <c r="R69" s="24">
        <v>43206</v>
      </c>
      <c r="S69" s="233">
        <v>314.25</v>
      </c>
      <c r="T69" s="28">
        <f t="shared" si="4"/>
        <v>-2.2732920902680198E-2</v>
      </c>
      <c r="V69" s="24">
        <v>43206</v>
      </c>
      <c r="W69" s="25">
        <v>107.578766</v>
      </c>
      <c r="X69" s="28">
        <f t="shared" si="5"/>
        <v>-3.031712500061412E-2</v>
      </c>
      <c r="Z69" s="24">
        <v>43206</v>
      </c>
      <c r="AA69" s="27">
        <v>2670.14</v>
      </c>
      <c r="AB69" s="28">
        <f t="shared" si="6"/>
        <v>5.2102548657906311E-3</v>
      </c>
    </row>
    <row r="70" spans="2:28" x14ac:dyDescent="0.35">
      <c r="B70" s="24">
        <v>43213</v>
      </c>
      <c r="C70" s="25">
        <v>147.919464</v>
      </c>
      <c r="D70" s="28">
        <f t="shared" si="0"/>
        <v>3.439047509212001E-2</v>
      </c>
      <c r="F70" s="24">
        <v>43213</v>
      </c>
      <c r="G70" s="25">
        <v>75.834236000000004</v>
      </c>
      <c r="H70" s="28">
        <f t="shared" si="1"/>
        <v>6.6198467234456881E-2</v>
      </c>
      <c r="J70" s="24">
        <v>43213</v>
      </c>
      <c r="K70" s="233">
        <v>42.892997999999999</v>
      </c>
      <c r="L70" s="28">
        <f t="shared" si="2"/>
        <v>2.1497336600308614E-2</v>
      </c>
      <c r="N70" s="24">
        <v>43213</v>
      </c>
      <c r="O70" s="25">
        <v>27.835184000000002</v>
      </c>
      <c r="P70" s="28">
        <f t="shared" si="3"/>
        <v>1.0100979310648572E-2</v>
      </c>
      <c r="R70" s="24">
        <v>43213</v>
      </c>
      <c r="S70" s="233">
        <v>313.04998799999998</v>
      </c>
      <c r="T70" s="28">
        <f t="shared" si="4"/>
        <v>-3.8186539379475581E-3</v>
      </c>
      <c r="V70" s="24">
        <v>43213</v>
      </c>
      <c r="W70" s="25">
        <v>108.946243</v>
      </c>
      <c r="X70" s="28">
        <f t="shared" si="5"/>
        <v>1.2711402545740214E-2</v>
      </c>
      <c r="Z70" s="24">
        <v>43213</v>
      </c>
      <c r="AA70" s="27">
        <v>2669.91</v>
      </c>
      <c r="AB70" s="28">
        <f t="shared" si="6"/>
        <v>-8.6137805508368359E-5</v>
      </c>
    </row>
    <row r="71" spans="2:28" x14ac:dyDescent="0.35">
      <c r="B71" s="24">
        <v>43220</v>
      </c>
      <c r="C71" s="25">
        <v>140.017517</v>
      </c>
      <c r="D71" s="28">
        <f t="shared" si="0"/>
        <v>-5.342060325475495E-2</v>
      </c>
      <c r="F71" s="24">
        <v>43220</v>
      </c>
      <c r="G71" s="25">
        <v>76.940299999999993</v>
      </c>
      <c r="H71" s="28">
        <f t="shared" si="1"/>
        <v>1.458528572767559E-2</v>
      </c>
      <c r="J71" s="24">
        <v>43220</v>
      </c>
      <c r="K71" s="233">
        <v>42.121631999999998</v>
      </c>
      <c r="L71" s="28">
        <f t="shared" si="2"/>
        <v>-1.7983494648706966E-2</v>
      </c>
      <c r="N71" s="24">
        <v>43220</v>
      </c>
      <c r="O71" s="25">
        <v>26.210218000000001</v>
      </c>
      <c r="P71" s="28">
        <f t="shared" si="3"/>
        <v>-5.8378130354733826E-2</v>
      </c>
      <c r="R71" s="24">
        <v>43220</v>
      </c>
      <c r="S71" s="233">
        <v>291.25</v>
      </c>
      <c r="T71" s="28">
        <f t="shared" si="4"/>
        <v>-6.9637402445771657E-2</v>
      </c>
      <c r="V71" s="24">
        <v>43220</v>
      </c>
      <c r="W71" s="25">
        <v>105.48086499999999</v>
      </c>
      <c r="X71" s="28">
        <f t="shared" si="5"/>
        <v>-3.1808145967915591E-2</v>
      </c>
      <c r="Z71" s="24">
        <v>43220</v>
      </c>
      <c r="AA71" s="27">
        <v>2663.42</v>
      </c>
      <c r="AB71" s="28">
        <f t="shared" si="6"/>
        <v>-2.4307935473479869E-3</v>
      </c>
    </row>
    <row r="72" spans="2:28" x14ac:dyDescent="0.35">
      <c r="B72" s="24">
        <v>43227</v>
      </c>
      <c r="C72" s="25">
        <v>144.943726</v>
      </c>
      <c r="D72" s="28">
        <f t="shared" si="0"/>
        <v>3.5182805020031793E-2</v>
      </c>
      <c r="F72" s="24">
        <v>43227</v>
      </c>
      <c r="G72" s="25">
        <v>80.02037</v>
      </c>
      <c r="H72" s="28">
        <f t="shared" si="1"/>
        <v>4.0031946847101096E-2</v>
      </c>
      <c r="J72" s="24">
        <v>43227</v>
      </c>
      <c r="K72" s="233">
        <v>42.556548999999997</v>
      </c>
      <c r="L72" s="28">
        <f t="shared" si="2"/>
        <v>1.0325264700095094E-2</v>
      </c>
      <c r="N72" s="24">
        <v>43227</v>
      </c>
      <c r="O72" s="25">
        <v>26.706727999999998</v>
      </c>
      <c r="P72" s="28">
        <f t="shared" si="3"/>
        <v>1.8943375442356025E-2</v>
      </c>
      <c r="R72" s="24">
        <v>43227</v>
      </c>
      <c r="S72" s="233">
        <v>306.94000199999999</v>
      </c>
      <c r="T72" s="28">
        <f t="shared" si="4"/>
        <v>5.3871251502146E-2</v>
      </c>
      <c r="V72" s="24">
        <v>43227</v>
      </c>
      <c r="W72" s="25">
        <v>108.071404</v>
      </c>
      <c r="X72" s="28">
        <f t="shared" si="5"/>
        <v>2.4559326471204068E-2</v>
      </c>
      <c r="Z72" s="24">
        <v>43227</v>
      </c>
      <c r="AA72" s="27">
        <v>2727.72</v>
      </c>
      <c r="AB72" s="28">
        <f t="shared" si="6"/>
        <v>2.4141892754428351E-2</v>
      </c>
    </row>
    <row r="73" spans="2:28" x14ac:dyDescent="0.35">
      <c r="B73" s="24">
        <v>43234</v>
      </c>
      <c r="C73" s="25">
        <v>146.95257599999999</v>
      </c>
      <c r="D73" s="28">
        <f t="shared" si="0"/>
        <v>1.3859516761698165E-2</v>
      </c>
      <c r="F73" s="24">
        <v>43234</v>
      </c>
      <c r="G73" s="25">
        <v>81.402953999999994</v>
      </c>
      <c r="H73" s="28">
        <f t="shared" si="1"/>
        <v>1.727790061455603E-2</v>
      </c>
      <c r="J73" s="24">
        <v>43234</v>
      </c>
      <c r="K73" s="233">
        <v>43.254066000000002</v>
      </c>
      <c r="L73" s="28">
        <f t="shared" si="2"/>
        <v>1.6390356276304363E-2</v>
      </c>
      <c r="N73" s="24">
        <v>43234</v>
      </c>
      <c r="O73" s="25">
        <v>27.073788</v>
      </c>
      <c r="P73" s="28">
        <f t="shared" si="3"/>
        <v>1.3744102235212052E-2</v>
      </c>
      <c r="R73" s="24">
        <v>43234</v>
      </c>
      <c r="S73" s="233">
        <v>301.80999800000001</v>
      </c>
      <c r="T73" s="28">
        <f t="shared" si="4"/>
        <v>-1.6713377098368509E-2</v>
      </c>
      <c r="V73" s="24">
        <v>43234</v>
      </c>
      <c r="W73" s="25">
        <v>105.523346</v>
      </c>
      <c r="X73" s="28">
        <f t="shared" si="5"/>
        <v>-2.3577541381807121E-2</v>
      </c>
      <c r="Z73" s="24">
        <v>43234</v>
      </c>
      <c r="AA73" s="27">
        <v>2712.97</v>
      </c>
      <c r="AB73" s="28">
        <f t="shared" si="6"/>
        <v>-5.4074465121053406E-3</v>
      </c>
    </row>
    <row r="74" spans="2:28" x14ac:dyDescent="0.35">
      <c r="B74" s="24">
        <v>43241</v>
      </c>
      <c r="C74" s="25">
        <v>149.71632399999999</v>
      </c>
      <c r="D74" s="28">
        <f t="shared" si="0"/>
        <v>1.8807074195147155E-2</v>
      </c>
      <c r="F74" s="24">
        <v>43241</v>
      </c>
      <c r="G74" s="25">
        <v>77.639258999999996</v>
      </c>
      <c r="H74" s="28">
        <f t="shared" si="1"/>
        <v>-4.6235361434180833E-2</v>
      </c>
      <c r="J74" s="24">
        <v>43241</v>
      </c>
      <c r="K74" s="233">
        <v>43.303299000000003</v>
      </c>
      <c r="L74" s="28">
        <f t="shared" si="2"/>
        <v>1.1382282535010724E-3</v>
      </c>
      <c r="N74" s="24">
        <v>43241</v>
      </c>
      <c r="O74" s="25">
        <v>27.104174</v>
      </c>
      <c r="P74" s="28">
        <f t="shared" si="3"/>
        <v>1.1223401764097751E-3</v>
      </c>
      <c r="R74" s="24">
        <v>43241</v>
      </c>
      <c r="S74" s="233">
        <v>293.73998999999998</v>
      </c>
      <c r="T74" s="28">
        <f t="shared" si="4"/>
        <v>-2.673870333480477E-2</v>
      </c>
      <c r="V74" s="24">
        <v>43241</v>
      </c>
      <c r="W74" s="25">
        <v>103.17066199999999</v>
      </c>
      <c r="X74" s="28">
        <f t="shared" si="5"/>
        <v>-2.2295388548426165E-2</v>
      </c>
      <c r="Z74" s="24">
        <v>43241</v>
      </c>
      <c r="AA74" s="27">
        <v>2721.33</v>
      </c>
      <c r="AB74" s="28">
        <f t="shared" si="6"/>
        <v>3.0814937135317244E-3</v>
      </c>
    </row>
    <row r="75" spans="2:28" x14ac:dyDescent="0.35">
      <c r="B75" s="24">
        <v>43248</v>
      </c>
      <c r="C75" s="25">
        <v>154.19335899999999</v>
      </c>
      <c r="D75" s="28">
        <f t="shared" si="0"/>
        <v>2.9903452612154657E-2</v>
      </c>
      <c r="F75" s="24">
        <v>43248</v>
      </c>
      <c r="G75" s="25">
        <v>75.311942999999999</v>
      </c>
      <c r="H75" s="28">
        <f t="shared" si="1"/>
        <v>-2.9976020250270463E-2</v>
      </c>
      <c r="J75" s="24">
        <v>43248</v>
      </c>
      <c r="K75" s="233">
        <v>43.598720999999998</v>
      </c>
      <c r="L75" s="28">
        <f t="shared" si="2"/>
        <v>6.8221592077775117E-3</v>
      </c>
      <c r="N75" s="24">
        <v>43248</v>
      </c>
      <c r="O75" s="25">
        <v>27.53717</v>
      </c>
      <c r="P75" s="28">
        <f t="shared" si="3"/>
        <v>1.5975251634674503E-2</v>
      </c>
      <c r="R75" s="24">
        <v>43248</v>
      </c>
      <c r="S75" s="233">
        <v>306.88000499999998</v>
      </c>
      <c r="T75" s="28">
        <f t="shared" si="4"/>
        <v>4.4733490322512726E-2</v>
      </c>
      <c r="V75" s="24">
        <v>43248</v>
      </c>
      <c r="W75" s="25">
        <v>103.75612599999999</v>
      </c>
      <c r="X75" s="28">
        <f t="shared" si="5"/>
        <v>5.6747139996058404E-3</v>
      </c>
      <c r="Z75" s="24">
        <v>43248</v>
      </c>
      <c r="AA75" s="27">
        <v>2734.62</v>
      </c>
      <c r="AB75" s="28">
        <f t="shared" si="6"/>
        <v>4.883641454729748E-3</v>
      </c>
    </row>
    <row r="76" spans="2:28" x14ac:dyDescent="0.35">
      <c r="B76" s="24">
        <v>43255</v>
      </c>
      <c r="C76" s="25">
        <v>154.80650299999999</v>
      </c>
      <c r="D76" s="28">
        <f t="shared" si="0"/>
        <v>3.9764617878257358E-3</v>
      </c>
      <c r="F76" s="24">
        <v>43255</v>
      </c>
      <c r="G76" s="25">
        <v>77.140006999999997</v>
      </c>
      <c r="H76" s="28">
        <f t="shared" si="1"/>
        <v>2.4273228483827625E-2</v>
      </c>
      <c r="J76" s="24">
        <v>43255</v>
      </c>
      <c r="K76" s="233">
        <v>43.623333000000002</v>
      </c>
      <c r="L76" s="28">
        <f t="shared" si="2"/>
        <v>5.6451197272511244E-4</v>
      </c>
      <c r="N76" s="24">
        <v>43255</v>
      </c>
      <c r="O76" s="25">
        <v>27.85622</v>
      </c>
      <c r="P76" s="28">
        <f t="shared" si="3"/>
        <v>1.1586157909472927E-2</v>
      </c>
      <c r="R76" s="24">
        <v>43255</v>
      </c>
      <c r="S76" s="233">
        <v>308.10000600000001</v>
      </c>
      <c r="T76" s="28">
        <f t="shared" si="4"/>
        <v>3.9754985014419653E-3</v>
      </c>
      <c r="V76" s="24">
        <v>43255</v>
      </c>
      <c r="W76" s="25">
        <v>106.151939</v>
      </c>
      <c r="X76" s="28">
        <f t="shared" si="5"/>
        <v>2.3090810079011703E-2</v>
      </c>
      <c r="Z76" s="24">
        <v>43255</v>
      </c>
      <c r="AA76" s="27">
        <v>2779.03</v>
      </c>
      <c r="AB76" s="28">
        <f t="shared" si="6"/>
        <v>1.6239916332068116E-2</v>
      </c>
    </row>
    <row r="77" spans="2:28" x14ac:dyDescent="0.35">
      <c r="B77" s="24">
        <v>43262</v>
      </c>
      <c r="C77" s="25">
        <v>155.40289300000001</v>
      </c>
      <c r="D77" s="28">
        <f t="shared" si="0"/>
        <v>3.8524867395268725E-3</v>
      </c>
      <c r="F77" s="24">
        <v>43262</v>
      </c>
      <c r="G77" s="25">
        <v>76.479431000000005</v>
      </c>
      <c r="H77" s="28">
        <f t="shared" si="1"/>
        <v>-8.5633386058675542E-3</v>
      </c>
      <c r="J77" s="24">
        <v>43262</v>
      </c>
      <c r="K77" s="233">
        <v>44.969130999999997</v>
      </c>
      <c r="L77" s="28">
        <f t="shared" si="2"/>
        <v>3.0850416679532477E-2</v>
      </c>
      <c r="N77" s="24">
        <v>43262</v>
      </c>
      <c r="O77" s="25">
        <v>27.620733000000001</v>
      </c>
      <c r="P77" s="28">
        <f t="shared" si="3"/>
        <v>-8.4536595417468163E-3</v>
      </c>
      <c r="R77" s="24">
        <v>43262</v>
      </c>
      <c r="S77" s="233">
        <v>315.29998799999998</v>
      </c>
      <c r="T77" s="28">
        <f t="shared" si="4"/>
        <v>2.3368977149581749E-2</v>
      </c>
      <c r="V77" s="24">
        <v>43262</v>
      </c>
      <c r="W77" s="25">
        <v>104.91124000000001</v>
      </c>
      <c r="X77" s="28">
        <f t="shared" si="5"/>
        <v>-1.1687954188005834E-2</v>
      </c>
      <c r="Z77" s="24">
        <v>43262</v>
      </c>
      <c r="AA77" s="27">
        <v>2779.66</v>
      </c>
      <c r="AB77" s="28">
        <f t="shared" si="6"/>
        <v>2.2669780462947209E-4</v>
      </c>
    </row>
    <row r="78" spans="2:28" x14ac:dyDescent="0.35">
      <c r="B78" s="24">
        <v>43269</v>
      </c>
      <c r="C78" s="25">
        <v>155.52049299999999</v>
      </c>
      <c r="D78" s="28">
        <f t="shared" si="0"/>
        <v>7.5674266887681974E-4</v>
      </c>
      <c r="F78" s="24">
        <v>43269</v>
      </c>
      <c r="G78" s="25">
        <v>71.809402000000006</v>
      </c>
      <c r="H78" s="28">
        <f t="shared" si="1"/>
        <v>-6.1062548961694052E-2</v>
      </c>
      <c r="J78" s="24">
        <v>43269</v>
      </c>
      <c r="K78" s="233">
        <v>45.248126999999997</v>
      </c>
      <c r="L78" s="28">
        <f t="shared" si="2"/>
        <v>6.2041670318244702E-3</v>
      </c>
      <c r="N78" s="24">
        <v>43269</v>
      </c>
      <c r="O78" s="25">
        <v>27.734673999999998</v>
      </c>
      <c r="P78" s="28">
        <f t="shared" si="3"/>
        <v>4.1251982704439971E-3</v>
      </c>
      <c r="R78" s="24">
        <v>43269</v>
      </c>
      <c r="S78" s="233">
        <v>331.97000100000002</v>
      </c>
      <c r="T78" s="28">
        <f t="shared" si="4"/>
        <v>5.2870325513618699E-2</v>
      </c>
      <c r="V78" s="24">
        <v>43269</v>
      </c>
      <c r="W78" s="25">
        <v>105.108047</v>
      </c>
      <c r="X78" s="28">
        <f t="shared" si="5"/>
        <v>1.875938174022096E-3</v>
      </c>
      <c r="Z78" s="24">
        <v>43269</v>
      </c>
      <c r="AA78" s="27">
        <v>2754.88</v>
      </c>
      <c r="AB78" s="28">
        <f t="shared" si="6"/>
        <v>-8.9147593590581664E-3</v>
      </c>
    </row>
    <row r="79" spans="2:28" x14ac:dyDescent="0.35">
      <c r="B79" s="24">
        <v>43276</v>
      </c>
      <c r="C79" s="25">
        <v>155.05012500000001</v>
      </c>
      <c r="D79" s="28">
        <f t="shared" si="0"/>
        <v>-3.0244760090876177E-3</v>
      </c>
      <c r="F79" s="24">
        <v>43276</v>
      </c>
      <c r="G79" s="25">
        <v>71.164192</v>
      </c>
      <c r="H79" s="28">
        <f t="shared" si="1"/>
        <v>-8.9850351350928559E-3</v>
      </c>
      <c r="J79" s="24">
        <v>43276</v>
      </c>
      <c r="K79" s="233">
        <v>45.412253999999997</v>
      </c>
      <c r="L79" s="28">
        <f t="shared" si="2"/>
        <v>3.6272661628624636E-3</v>
      </c>
      <c r="N79" s="24">
        <v>43276</v>
      </c>
      <c r="O79" s="25">
        <v>27.559958000000002</v>
      </c>
      <c r="P79" s="28">
        <f t="shared" si="3"/>
        <v>-6.2995512404435683E-3</v>
      </c>
      <c r="R79" s="24">
        <v>43276</v>
      </c>
      <c r="S79" s="233">
        <v>344.98998999999998</v>
      </c>
      <c r="T79" s="28">
        <f t="shared" si="4"/>
        <v>3.9220378229296582E-2</v>
      </c>
      <c r="V79" s="24">
        <v>43276</v>
      </c>
      <c r="W79" s="25">
        <v>103.82456999999999</v>
      </c>
      <c r="X79" s="28">
        <f t="shared" si="5"/>
        <v>-1.2211025098772921E-2</v>
      </c>
      <c r="Z79" s="24">
        <v>43276</v>
      </c>
      <c r="AA79" s="27">
        <v>2718.37</v>
      </c>
      <c r="AB79" s="28">
        <f t="shared" si="6"/>
        <v>-1.3252845858984896E-2</v>
      </c>
    </row>
    <row r="80" spans="2:28" x14ac:dyDescent="0.35">
      <c r="B80" s="24">
        <v>43283</v>
      </c>
      <c r="C80" s="25">
        <v>160.44274899999999</v>
      </c>
      <c r="D80" s="28">
        <f t="shared" si="0"/>
        <v>3.4779875217772149E-2</v>
      </c>
      <c r="F80" s="24">
        <v>43283</v>
      </c>
      <c r="G80" s="25">
        <v>74.443984999999998</v>
      </c>
      <c r="H80" s="28">
        <f t="shared" si="1"/>
        <v>4.6087686908607095E-2</v>
      </c>
      <c r="J80" s="24">
        <v>43283</v>
      </c>
      <c r="K80" s="233">
        <v>46.413395000000001</v>
      </c>
      <c r="L80" s="28">
        <f t="shared" si="2"/>
        <v>2.204561350335088E-2</v>
      </c>
      <c r="N80" s="24">
        <v>43283</v>
      </c>
      <c r="O80" s="25">
        <v>28.190467999999999</v>
      </c>
      <c r="P80" s="28">
        <f t="shared" si="3"/>
        <v>2.2877756199773502E-2</v>
      </c>
      <c r="R80" s="24">
        <v>43283</v>
      </c>
      <c r="S80" s="233">
        <v>369.58999599999999</v>
      </c>
      <c r="T80" s="28">
        <f t="shared" si="4"/>
        <v>7.1306434137407892E-2</v>
      </c>
      <c r="V80" s="24">
        <v>43283</v>
      </c>
      <c r="W80" s="25">
        <v>107.598</v>
      </c>
      <c r="X80" s="28">
        <f t="shared" si="5"/>
        <v>3.6344287291534272E-2</v>
      </c>
      <c r="Z80" s="24">
        <v>43283</v>
      </c>
      <c r="AA80" s="27">
        <v>2759.82</v>
      </c>
      <c r="AB80" s="28">
        <f t="shared" si="6"/>
        <v>1.5248108241335823E-2</v>
      </c>
    </row>
    <row r="81" spans="2:28" x14ac:dyDescent="0.35">
      <c r="B81" s="24">
        <v>43290</v>
      </c>
      <c r="C81" s="25">
        <v>164.558594</v>
      </c>
      <c r="D81" s="28">
        <f t="shared" si="0"/>
        <v>2.5653044625905785E-2</v>
      </c>
      <c r="F81" s="24">
        <v>43290</v>
      </c>
      <c r="G81" s="25">
        <v>74.221230000000006</v>
      </c>
      <c r="H81" s="28">
        <f t="shared" si="1"/>
        <v>-2.9922498103774897E-3</v>
      </c>
      <c r="J81" s="24">
        <v>43290</v>
      </c>
      <c r="K81" s="233">
        <v>46.997374999999998</v>
      </c>
      <c r="L81" s="28">
        <f t="shared" si="2"/>
        <v>1.2582143581610472E-2</v>
      </c>
      <c r="N81" s="24">
        <v>43290</v>
      </c>
      <c r="O81" s="25">
        <v>28.509518</v>
      </c>
      <c r="P81" s="28">
        <f t="shared" si="3"/>
        <v>1.1317655315264741E-2</v>
      </c>
      <c r="R81" s="24">
        <v>43290</v>
      </c>
      <c r="S81" s="233">
        <v>367.64001500000001</v>
      </c>
      <c r="T81" s="28">
        <f t="shared" si="4"/>
        <v>-5.2760654268357854E-3</v>
      </c>
      <c r="V81" s="24">
        <v>43290</v>
      </c>
      <c r="W81" s="25">
        <v>107.75200700000001</v>
      </c>
      <c r="X81" s="28">
        <f t="shared" si="5"/>
        <v>1.4313184259930889E-3</v>
      </c>
      <c r="Z81" s="24">
        <v>43290</v>
      </c>
      <c r="AA81" s="27">
        <v>2801.31</v>
      </c>
      <c r="AB81" s="28">
        <f t="shared" si="6"/>
        <v>1.5033589147118276E-2</v>
      </c>
    </row>
    <row r="82" spans="2:28" x14ac:dyDescent="0.35">
      <c r="B82" s="24">
        <v>43297</v>
      </c>
      <c r="C82" s="25">
        <v>160.00595100000001</v>
      </c>
      <c r="D82" s="28">
        <f t="shared" ref="D82:D145" si="7">(C82/C81)-1</f>
        <v>-2.7665786935442527E-2</v>
      </c>
      <c r="F82" s="24">
        <v>43297</v>
      </c>
      <c r="G82" s="25">
        <v>68.988975999999994</v>
      </c>
      <c r="H82" s="28">
        <f t="shared" ref="H82:H145" si="8">(G82/G81)-1</f>
        <v>-7.049538252060783E-2</v>
      </c>
      <c r="J82" s="24">
        <v>43297</v>
      </c>
      <c r="K82" s="233">
        <v>46.873393999999998</v>
      </c>
      <c r="L82" s="28">
        <f t="shared" ref="L82:L145" si="9">(K82/K81)-1</f>
        <v>-2.6380409544149996E-3</v>
      </c>
      <c r="N82" s="24">
        <v>43297</v>
      </c>
      <c r="O82" s="25">
        <v>28.357588</v>
      </c>
      <c r="P82" s="28">
        <f t="shared" ref="P82:P145" si="10">(O82/O81)-1</f>
        <v>-5.3290974614161879E-3</v>
      </c>
      <c r="R82" s="24">
        <v>43297</v>
      </c>
      <c r="S82" s="233">
        <v>367.10998499999999</v>
      </c>
      <c r="T82" s="28">
        <f t="shared" ref="T82:T145" si="11">(S82/S81)-1</f>
        <v>-1.4417092219953798E-3</v>
      </c>
      <c r="V82" s="24">
        <v>43297</v>
      </c>
      <c r="W82" s="25">
        <v>107.683556</v>
      </c>
      <c r="X82" s="28">
        <f t="shared" ref="X82:X145" si="12">(W82/W81)-1</f>
        <v>-6.3526426936999503E-4</v>
      </c>
      <c r="Z82" s="24">
        <v>43297</v>
      </c>
      <c r="AA82" s="27">
        <v>2801.83</v>
      </c>
      <c r="AB82" s="28">
        <f t="shared" ref="AB82:AB145" si="13">(AA82/AA81)-1</f>
        <v>1.8562743859118491E-4</v>
      </c>
    </row>
    <row r="83" spans="2:28" x14ac:dyDescent="0.35">
      <c r="B83" s="24">
        <v>43304</v>
      </c>
      <c r="C83" s="25">
        <v>161.64387500000001</v>
      </c>
      <c r="D83" s="28">
        <f t="shared" si="7"/>
        <v>1.0236644260812611E-2</v>
      </c>
      <c r="F83" s="24">
        <v>43304</v>
      </c>
      <c r="G83" s="25">
        <v>70.269287000000006</v>
      </c>
      <c r="H83" s="28">
        <f t="shared" si="8"/>
        <v>1.8558196892210832E-2</v>
      </c>
      <c r="J83" s="24">
        <v>43304</v>
      </c>
      <c r="K83" s="233">
        <v>47.046967000000002</v>
      </c>
      <c r="L83" s="28">
        <f t="shared" si="9"/>
        <v>3.7030175369849871E-3</v>
      </c>
      <c r="N83" s="24">
        <v>43304</v>
      </c>
      <c r="O83" s="25">
        <v>29.178000999999998</v>
      </c>
      <c r="P83" s="28">
        <f t="shared" si="10"/>
        <v>2.8930986655141488E-2</v>
      </c>
      <c r="R83" s="24">
        <v>43304</v>
      </c>
      <c r="S83" s="233">
        <v>367.60000600000001</v>
      </c>
      <c r="T83" s="28">
        <f t="shared" si="11"/>
        <v>1.3348070606142848E-3</v>
      </c>
      <c r="V83" s="24">
        <v>43304</v>
      </c>
      <c r="W83" s="25">
        <v>112.560768</v>
      </c>
      <c r="X83" s="28">
        <f t="shared" si="12"/>
        <v>4.5292077835914046E-2</v>
      </c>
      <c r="Z83" s="24">
        <v>43304</v>
      </c>
      <c r="AA83" s="27">
        <v>2818.82</v>
      </c>
      <c r="AB83" s="28">
        <f t="shared" si="13"/>
        <v>6.0638939550223814E-3</v>
      </c>
    </row>
    <row r="84" spans="2:28" x14ac:dyDescent="0.35">
      <c r="B84" s="24">
        <v>43311</v>
      </c>
      <c r="C84" s="25">
        <v>166.305756</v>
      </c>
      <c r="D84" s="28">
        <f t="shared" si="7"/>
        <v>2.8840443227434287E-2</v>
      </c>
      <c r="F84" s="24">
        <v>43311</v>
      </c>
      <c r="G84" s="25">
        <v>74.901641999999995</v>
      </c>
      <c r="H84" s="28">
        <f t="shared" si="8"/>
        <v>6.5922897438819739E-2</v>
      </c>
      <c r="J84" s="24">
        <v>43311</v>
      </c>
      <c r="K84" s="233">
        <v>48.898434000000002</v>
      </c>
      <c r="L84" s="28">
        <f t="shared" si="9"/>
        <v>3.9353588935924444E-2</v>
      </c>
      <c r="N84" s="24">
        <v>43311</v>
      </c>
      <c r="O84" s="25">
        <v>30.796053000000001</v>
      </c>
      <c r="P84" s="28">
        <f t="shared" si="10"/>
        <v>5.5454518628606619E-2</v>
      </c>
      <c r="R84" s="24">
        <v>43311</v>
      </c>
      <c r="S84" s="233">
        <v>394.88000499999998</v>
      </c>
      <c r="T84" s="28">
        <f t="shared" si="11"/>
        <v>7.421109508904622E-2</v>
      </c>
      <c r="V84" s="24">
        <v>43311</v>
      </c>
      <c r="W84" s="25">
        <v>112.903015</v>
      </c>
      <c r="X84" s="28">
        <f t="shared" si="12"/>
        <v>3.0405531703550093E-3</v>
      </c>
      <c r="Z84" s="24">
        <v>43311</v>
      </c>
      <c r="AA84" s="27">
        <v>2840.35</v>
      </c>
      <c r="AB84" s="28">
        <f t="shared" si="13"/>
        <v>7.6379477937575935E-3</v>
      </c>
    </row>
    <row r="85" spans="2:28" x14ac:dyDescent="0.35">
      <c r="B85" s="24">
        <v>43318</v>
      </c>
      <c r="C85" s="25">
        <v>163.30702199999999</v>
      </c>
      <c r="D85" s="28">
        <f t="shared" si="7"/>
        <v>-1.8031450456832077E-2</v>
      </c>
      <c r="F85" s="24">
        <v>43318</v>
      </c>
      <c r="G85" s="25">
        <v>74.335212999999996</v>
      </c>
      <c r="H85" s="28">
        <f t="shared" si="8"/>
        <v>-7.5623041748537068E-3</v>
      </c>
      <c r="J85" s="24">
        <v>43318</v>
      </c>
      <c r="K85" s="233">
        <v>49.022410999999998</v>
      </c>
      <c r="L85" s="28">
        <f t="shared" si="9"/>
        <v>2.5353981683748916E-3</v>
      </c>
      <c r="N85" s="24">
        <v>43318</v>
      </c>
      <c r="O85" s="25">
        <v>31.357063</v>
      </c>
      <c r="P85" s="28">
        <f t="shared" si="10"/>
        <v>1.8216944879267505E-2</v>
      </c>
      <c r="R85" s="24">
        <v>43318</v>
      </c>
      <c r="S85" s="233">
        <v>368.77999899999998</v>
      </c>
      <c r="T85" s="28">
        <f t="shared" si="11"/>
        <v>-6.6096043530996185E-2</v>
      </c>
      <c r="V85" s="24">
        <v>43318</v>
      </c>
      <c r="W85" s="25">
        <v>111.876266</v>
      </c>
      <c r="X85" s="28">
        <f t="shared" si="12"/>
        <v>-9.0940795513742012E-3</v>
      </c>
      <c r="Z85" s="24">
        <v>43318</v>
      </c>
      <c r="AA85" s="27">
        <v>2833.28</v>
      </c>
      <c r="AB85" s="28">
        <f t="shared" si="13"/>
        <v>-2.4891298607564449E-3</v>
      </c>
    </row>
    <row r="86" spans="2:28" x14ac:dyDescent="0.35">
      <c r="B86" s="24">
        <v>43325</v>
      </c>
      <c r="C86" s="25">
        <v>165.826965</v>
      </c>
      <c r="D86" s="28">
        <f t="shared" si="7"/>
        <v>1.5430708178611141E-2</v>
      </c>
      <c r="F86" s="24">
        <v>43325</v>
      </c>
      <c r="G86" s="25">
        <v>76.670792000000006</v>
      </c>
      <c r="H86" s="28">
        <f t="shared" si="8"/>
        <v>3.1419550785440231E-2</v>
      </c>
      <c r="J86" s="24">
        <v>43325</v>
      </c>
      <c r="K86" s="233">
        <v>50.328353999999997</v>
      </c>
      <c r="L86" s="28">
        <f t="shared" si="9"/>
        <v>2.6639713823948696E-2</v>
      </c>
      <c r="N86" s="24">
        <v>43325</v>
      </c>
      <c r="O86" s="25">
        <v>32.245766000000003</v>
      </c>
      <c r="P86" s="28">
        <f t="shared" si="10"/>
        <v>2.8341397917273081E-2</v>
      </c>
      <c r="R86" s="24">
        <v>43325</v>
      </c>
      <c r="S86" s="233">
        <v>374.26001000000002</v>
      </c>
      <c r="T86" s="28">
        <f t="shared" si="11"/>
        <v>1.4859837883995475E-2</v>
      </c>
      <c r="V86" s="24">
        <v>43325</v>
      </c>
      <c r="W86" s="25">
        <v>115.05925000000001</v>
      </c>
      <c r="X86" s="28">
        <f t="shared" si="12"/>
        <v>2.8450931674820046E-2</v>
      </c>
      <c r="Z86" s="24">
        <v>43325</v>
      </c>
      <c r="AA86" s="27">
        <v>2850.13</v>
      </c>
      <c r="AB86" s="28">
        <f t="shared" si="13"/>
        <v>5.9471707702731802E-3</v>
      </c>
    </row>
    <row r="87" spans="2:28" x14ac:dyDescent="0.35">
      <c r="B87" s="24">
        <v>43332</v>
      </c>
      <c r="C87" s="25">
        <v>166.295975</v>
      </c>
      <c r="D87" s="28">
        <f t="shared" si="7"/>
        <v>2.8283096177994516E-3</v>
      </c>
      <c r="F87" s="24">
        <v>43332</v>
      </c>
      <c r="G87" s="25">
        <v>75.576729</v>
      </c>
      <c r="H87" s="28">
        <f t="shared" si="8"/>
        <v>-1.4269619126929145E-2</v>
      </c>
      <c r="J87" s="24">
        <v>43332</v>
      </c>
      <c r="K87" s="233">
        <v>49.567931999999999</v>
      </c>
      <c r="L87" s="28">
        <f t="shared" si="9"/>
        <v>-1.5109216566073225E-2</v>
      </c>
      <c r="N87" s="24">
        <v>43332</v>
      </c>
      <c r="O87" s="25">
        <v>32.483252999999998</v>
      </c>
      <c r="P87" s="28">
        <f t="shared" si="10"/>
        <v>7.3649048994524069E-3</v>
      </c>
      <c r="R87" s="24">
        <v>43332</v>
      </c>
      <c r="S87" s="233">
        <v>376.32998700000002</v>
      </c>
      <c r="T87" s="28">
        <f t="shared" si="11"/>
        <v>5.5308527352415648E-3</v>
      </c>
      <c r="V87" s="24">
        <v>43332</v>
      </c>
      <c r="W87" s="25">
        <v>116.325653</v>
      </c>
      <c r="X87" s="28">
        <f t="shared" si="12"/>
        <v>1.1006529244715235E-2</v>
      </c>
      <c r="Z87" s="24">
        <v>43332</v>
      </c>
      <c r="AA87" s="27">
        <v>2874.69</v>
      </c>
      <c r="AB87" s="28">
        <f t="shared" si="13"/>
        <v>8.6171507966303906E-3</v>
      </c>
    </row>
    <row r="88" spans="2:28" x14ac:dyDescent="0.35">
      <c r="B88" s="24">
        <v>43339</v>
      </c>
      <c r="C88" s="25">
        <v>168.976822</v>
      </c>
      <c r="D88" s="28">
        <f t="shared" si="7"/>
        <v>1.6120937382880118E-2</v>
      </c>
      <c r="F88" s="24">
        <v>43339</v>
      </c>
      <c r="G88" s="25">
        <v>74.474884000000003</v>
      </c>
      <c r="H88" s="28">
        <f t="shared" si="8"/>
        <v>-1.4579157031260226E-2</v>
      </c>
      <c r="J88" s="24">
        <v>43339</v>
      </c>
      <c r="K88" s="233">
        <v>50.047333000000002</v>
      </c>
      <c r="L88" s="28">
        <f t="shared" si="9"/>
        <v>9.6715957405688613E-3</v>
      </c>
      <c r="N88" s="24">
        <v>43339</v>
      </c>
      <c r="O88" s="25">
        <v>31.809070999999999</v>
      </c>
      <c r="P88" s="28">
        <f t="shared" si="10"/>
        <v>-2.0754756304733335E-2</v>
      </c>
      <c r="R88" s="24">
        <v>43339</v>
      </c>
      <c r="S88" s="233">
        <v>406.75</v>
      </c>
      <c r="T88" s="28">
        <f t="shared" si="11"/>
        <v>8.0833348526116788E-2</v>
      </c>
      <c r="V88" s="24">
        <v>43339</v>
      </c>
      <c r="W88" s="25">
        <v>115.24749799999999</v>
      </c>
      <c r="X88" s="28">
        <f t="shared" si="12"/>
        <v>-9.2684199245373078E-3</v>
      </c>
      <c r="Z88" s="24">
        <v>43339</v>
      </c>
      <c r="AA88" s="27">
        <v>2901.52</v>
      </c>
      <c r="AB88" s="28">
        <f t="shared" si="13"/>
        <v>9.3331802733511715E-3</v>
      </c>
    </row>
    <row r="89" spans="2:28" x14ac:dyDescent="0.35">
      <c r="B89" s="24">
        <v>43346</v>
      </c>
      <c r="C89" s="25">
        <v>166.00843800000001</v>
      </c>
      <c r="D89" s="28">
        <f t="shared" si="7"/>
        <v>-1.7566811618696332E-2</v>
      </c>
      <c r="F89" s="24">
        <v>43346</v>
      </c>
      <c r="G89" s="25">
        <v>73.070412000000005</v>
      </c>
      <c r="H89" s="28">
        <f t="shared" si="8"/>
        <v>-1.8858330816601154E-2</v>
      </c>
      <c r="J89" s="24">
        <v>43346</v>
      </c>
      <c r="K89" s="233">
        <v>50.675502999999999</v>
      </c>
      <c r="L89" s="28">
        <f t="shared" si="9"/>
        <v>1.2551517979989102E-2</v>
      </c>
      <c r="N89" s="24">
        <v>43346</v>
      </c>
      <c r="O89" s="25">
        <v>32.330029000000003</v>
      </c>
      <c r="P89" s="28">
        <f t="shared" si="10"/>
        <v>1.6377655292102222E-2</v>
      </c>
      <c r="R89" s="24">
        <v>43346</v>
      </c>
      <c r="S89" s="233">
        <v>395.42001299999998</v>
      </c>
      <c r="T89" s="28">
        <f t="shared" si="11"/>
        <v>-2.7854915795943458E-2</v>
      </c>
      <c r="V89" s="24">
        <v>43346</v>
      </c>
      <c r="W89" s="25">
        <v>118.280914</v>
      </c>
      <c r="X89" s="28">
        <f t="shared" si="12"/>
        <v>2.6320883773112369E-2</v>
      </c>
      <c r="Z89" s="24">
        <v>43346</v>
      </c>
      <c r="AA89" s="27">
        <v>2871.68</v>
      </c>
      <c r="AB89" s="28">
        <f t="shared" si="13"/>
        <v>-1.0284264799139797E-2</v>
      </c>
    </row>
    <row r="90" spans="2:28" x14ac:dyDescent="0.35">
      <c r="B90" s="24">
        <v>43353</v>
      </c>
      <c r="C90" s="25">
        <v>169.62799100000001</v>
      </c>
      <c r="D90" s="28">
        <f t="shared" si="7"/>
        <v>2.1803427847444601E-2</v>
      </c>
      <c r="F90" s="24">
        <v>43353</v>
      </c>
      <c r="G90" s="25">
        <v>74.242087999999995</v>
      </c>
      <c r="H90" s="28">
        <f t="shared" si="8"/>
        <v>1.6034889744428904E-2</v>
      </c>
      <c r="J90" s="24">
        <v>43353</v>
      </c>
      <c r="K90" s="233">
        <v>50.163040000000002</v>
      </c>
      <c r="L90" s="28">
        <f t="shared" si="9"/>
        <v>-1.0112637658475698E-2</v>
      </c>
      <c r="N90" s="24">
        <v>43353</v>
      </c>
      <c r="O90" s="25">
        <v>32.912281</v>
      </c>
      <c r="P90" s="28">
        <f t="shared" si="10"/>
        <v>1.800963432479441E-2</v>
      </c>
      <c r="R90" s="24">
        <v>43353</v>
      </c>
      <c r="S90" s="233">
        <v>392.17001299999998</v>
      </c>
      <c r="T90" s="28">
        <f t="shared" si="11"/>
        <v>-8.2191085254958995E-3</v>
      </c>
      <c r="V90" s="24">
        <v>43353</v>
      </c>
      <c r="W90" s="25">
        <v>120.15005499999999</v>
      </c>
      <c r="X90" s="28">
        <f t="shared" si="12"/>
        <v>1.5802557968058961E-2</v>
      </c>
      <c r="Z90" s="24">
        <v>43353</v>
      </c>
      <c r="AA90" s="27">
        <v>2904.98</v>
      </c>
      <c r="AB90" s="28">
        <f t="shared" si="13"/>
        <v>1.1595999554268044E-2</v>
      </c>
    </row>
    <row r="91" spans="2:28" x14ac:dyDescent="0.35">
      <c r="B91" s="24">
        <v>43360</v>
      </c>
      <c r="C91" s="25">
        <v>173.45045500000001</v>
      </c>
      <c r="D91" s="28">
        <f t="shared" si="7"/>
        <v>2.2534394102444955E-2</v>
      </c>
      <c r="F91" s="24">
        <v>43360</v>
      </c>
      <c r="G91" s="25">
        <v>71.588386999999997</v>
      </c>
      <c r="H91" s="28">
        <f t="shared" si="8"/>
        <v>-3.5743889638448767E-2</v>
      </c>
      <c r="J91" s="24">
        <v>43360</v>
      </c>
      <c r="K91" s="233">
        <v>51.452457000000003</v>
      </c>
      <c r="L91" s="28">
        <f t="shared" si="9"/>
        <v>2.5704522692404641E-2</v>
      </c>
      <c r="N91" s="24">
        <v>43360</v>
      </c>
      <c r="O91" s="25">
        <v>33.755004999999997</v>
      </c>
      <c r="P91" s="28">
        <f t="shared" si="10"/>
        <v>2.5605153286093918E-2</v>
      </c>
      <c r="R91" s="24">
        <v>43360</v>
      </c>
      <c r="S91" s="233">
        <v>390.27999899999998</v>
      </c>
      <c r="T91" s="28">
        <f t="shared" si="11"/>
        <v>-4.819374091205697E-3</v>
      </c>
      <c r="V91" s="24">
        <v>43360</v>
      </c>
      <c r="W91" s="25">
        <v>123.070015</v>
      </c>
      <c r="X91" s="28">
        <f t="shared" si="12"/>
        <v>2.430261059805594E-2</v>
      </c>
      <c r="Z91" s="24">
        <v>43360</v>
      </c>
      <c r="AA91" s="27">
        <v>2929.67</v>
      </c>
      <c r="AB91" s="28">
        <f t="shared" si="13"/>
        <v>8.4991979290736097E-3</v>
      </c>
    </row>
    <row r="92" spans="2:28" x14ac:dyDescent="0.35">
      <c r="B92" s="24">
        <v>43367</v>
      </c>
      <c r="C92" s="25">
        <v>175.30255099999999</v>
      </c>
      <c r="D92" s="28">
        <f t="shared" si="7"/>
        <v>1.0677954116637967E-2</v>
      </c>
      <c r="F92" s="24">
        <v>43367</v>
      </c>
      <c r="G92" s="25">
        <v>73.388549999999995</v>
      </c>
      <c r="H92" s="28">
        <f t="shared" si="8"/>
        <v>2.5146019842575917E-2</v>
      </c>
      <c r="J92" s="24">
        <v>43367</v>
      </c>
      <c r="K92" s="233">
        <v>51.311951000000001</v>
      </c>
      <c r="L92" s="28">
        <f t="shared" si="9"/>
        <v>-2.7307928171438345E-3</v>
      </c>
      <c r="N92" s="24">
        <v>43367</v>
      </c>
      <c r="O92" s="25">
        <v>33.762664999999998</v>
      </c>
      <c r="P92" s="28">
        <f t="shared" si="10"/>
        <v>2.2692931018686302E-4</v>
      </c>
      <c r="R92" s="24">
        <v>43367</v>
      </c>
      <c r="S92" s="233">
        <v>404.040009</v>
      </c>
      <c r="T92" s="28">
        <f t="shared" si="11"/>
        <v>3.525676446463244E-2</v>
      </c>
      <c r="V92" s="24">
        <v>43367</v>
      </c>
      <c r="W92" s="25">
        <v>119.013031</v>
      </c>
      <c r="X92" s="28">
        <f t="shared" si="12"/>
        <v>-3.2964845254955022E-2</v>
      </c>
      <c r="Z92" s="24">
        <v>43367</v>
      </c>
      <c r="AA92" s="27">
        <v>2913.98</v>
      </c>
      <c r="AB92" s="28">
        <f t="shared" si="13"/>
        <v>-5.3555519904971982E-3</v>
      </c>
    </row>
    <row r="93" spans="2:28" x14ac:dyDescent="0.35">
      <c r="B93" s="24">
        <v>43374</v>
      </c>
      <c r="C93" s="25">
        <v>172.53713999999999</v>
      </c>
      <c r="D93" s="28">
        <f t="shared" si="7"/>
        <v>-1.577507562910474E-2</v>
      </c>
      <c r="F93" s="24">
        <v>43374</v>
      </c>
      <c r="G93" s="25">
        <v>73.233367999999999</v>
      </c>
      <c r="H93" s="28">
        <f t="shared" si="8"/>
        <v>-2.1145260398249821E-3</v>
      </c>
      <c r="J93" s="24">
        <v>43374</v>
      </c>
      <c r="K93" s="233">
        <v>51.584705</v>
      </c>
      <c r="L93" s="28">
        <f t="shared" si="9"/>
        <v>5.3156037664596756E-3</v>
      </c>
      <c r="N93" s="24">
        <v>43374</v>
      </c>
      <c r="O93" s="25">
        <v>34.406196999999999</v>
      </c>
      <c r="P93" s="28">
        <f t="shared" si="10"/>
        <v>1.9060462199888661E-2</v>
      </c>
      <c r="R93" s="24">
        <v>43374</v>
      </c>
      <c r="S93" s="233">
        <v>391.76998900000001</v>
      </c>
      <c r="T93" s="28">
        <f t="shared" si="11"/>
        <v>-3.0368329191874599E-2</v>
      </c>
      <c r="V93" s="24">
        <v>43374</v>
      </c>
      <c r="W93" s="25">
        <v>119.81410200000001</v>
      </c>
      <c r="X93" s="28">
        <f t="shared" si="12"/>
        <v>6.7309520081040297E-3</v>
      </c>
      <c r="Z93" s="24">
        <v>43374</v>
      </c>
      <c r="AA93" s="27">
        <v>2885.57</v>
      </c>
      <c r="AB93" s="28">
        <f t="shared" si="13"/>
        <v>-9.749552158902941E-3</v>
      </c>
    </row>
    <row r="94" spans="2:28" x14ac:dyDescent="0.35">
      <c r="B94" s="24">
        <v>43381</v>
      </c>
      <c r="C94" s="25">
        <v>166.93023700000001</v>
      </c>
      <c r="D94" s="28">
        <f t="shared" si="7"/>
        <v>-3.249678880732576E-2</v>
      </c>
      <c r="F94" s="24">
        <v>43381</v>
      </c>
      <c r="G94" s="25">
        <v>70.370148</v>
      </c>
      <c r="H94" s="28">
        <f t="shared" si="8"/>
        <v>-3.9097204979019917E-2</v>
      </c>
      <c r="J94" s="24">
        <v>43381</v>
      </c>
      <c r="K94" s="233">
        <v>47.840072999999997</v>
      </c>
      <c r="L94" s="28">
        <f t="shared" si="9"/>
        <v>-7.2591904906696758E-2</v>
      </c>
      <c r="N94" s="24">
        <v>43381</v>
      </c>
      <c r="O94" s="25">
        <v>33.540489000000001</v>
      </c>
      <c r="P94" s="28">
        <f t="shared" si="10"/>
        <v>-2.5161397523823958E-2</v>
      </c>
      <c r="R94" s="24">
        <v>43381</v>
      </c>
      <c r="S94" s="233">
        <v>384.16000400000001</v>
      </c>
      <c r="T94" s="28">
        <f t="shared" si="11"/>
        <v>-1.9424624687114589E-2</v>
      </c>
      <c r="V94" s="24">
        <v>43381</v>
      </c>
      <c r="W94" s="25">
        <v>115.309219</v>
      </c>
      <c r="X94" s="28">
        <f t="shared" si="12"/>
        <v>-3.7598938061564779E-2</v>
      </c>
      <c r="Z94" s="24">
        <v>43381</v>
      </c>
      <c r="AA94" s="27">
        <v>2767.13</v>
      </c>
      <c r="AB94" s="28">
        <f t="shared" si="13"/>
        <v>-4.1045616637267468E-2</v>
      </c>
    </row>
    <row r="95" spans="2:28" x14ac:dyDescent="0.35">
      <c r="B95" s="24">
        <v>43388</v>
      </c>
      <c r="C95" s="25">
        <v>170.659729</v>
      </c>
      <c r="D95" s="28">
        <f t="shared" si="7"/>
        <v>2.2341620469873202E-2</v>
      </c>
      <c r="F95" s="24">
        <v>43388</v>
      </c>
      <c r="G95" s="25">
        <v>68.989799000000005</v>
      </c>
      <c r="H95" s="28">
        <f t="shared" si="8"/>
        <v>-1.9615547774604614E-2</v>
      </c>
      <c r="J95" s="24">
        <v>43388</v>
      </c>
      <c r="K95" s="233">
        <v>45.169823000000001</v>
      </c>
      <c r="L95" s="28">
        <f t="shared" si="9"/>
        <v>-5.5816177370799469E-2</v>
      </c>
      <c r="N95" s="24">
        <v>43388</v>
      </c>
      <c r="O95" s="25">
        <v>34.092094000000003</v>
      </c>
      <c r="P95" s="28">
        <f t="shared" si="10"/>
        <v>1.6445943885910586E-2</v>
      </c>
      <c r="R95" s="24">
        <v>43388</v>
      </c>
      <c r="S95" s="233">
        <v>389.82998700000002</v>
      </c>
      <c r="T95" s="28">
        <f t="shared" si="11"/>
        <v>1.4759430812584018E-2</v>
      </c>
      <c r="V95" s="24">
        <v>43388</v>
      </c>
      <c r="W95" s="25">
        <v>119.771027</v>
      </c>
      <c r="X95" s="28">
        <f t="shared" si="12"/>
        <v>3.8694286880912809E-2</v>
      </c>
      <c r="Z95" s="24">
        <v>43388</v>
      </c>
      <c r="AA95" s="27">
        <v>2767.78</v>
      </c>
      <c r="AB95" s="28">
        <f t="shared" si="13"/>
        <v>2.3490042029106206E-4</v>
      </c>
    </row>
    <row r="96" spans="2:28" x14ac:dyDescent="0.35">
      <c r="B96" s="24">
        <v>43395</v>
      </c>
      <c r="C96" s="25">
        <v>157.28089900000001</v>
      </c>
      <c r="D96" s="28">
        <f t="shared" si="7"/>
        <v>-7.8394768809225024E-2</v>
      </c>
      <c r="F96" s="24">
        <v>43395</v>
      </c>
      <c r="G96" s="25">
        <v>63.358939999999997</v>
      </c>
      <c r="H96" s="28">
        <f t="shared" si="8"/>
        <v>-8.1618718732605733E-2</v>
      </c>
      <c r="J96" s="24">
        <v>43395</v>
      </c>
      <c r="K96" s="233">
        <v>41.950530999999998</v>
      </c>
      <c r="L96" s="28">
        <f t="shared" si="9"/>
        <v>-7.1270857094126838E-2</v>
      </c>
      <c r="N96" s="24">
        <v>43395</v>
      </c>
      <c r="O96" s="25">
        <v>32.636474999999997</v>
      </c>
      <c r="P96" s="28">
        <f t="shared" si="10"/>
        <v>-4.2696673310827049E-2</v>
      </c>
      <c r="R96" s="24">
        <v>43395</v>
      </c>
      <c r="S96" s="233">
        <v>335.82000699999998</v>
      </c>
      <c r="T96" s="28">
        <f t="shared" si="11"/>
        <v>-0.13854752533442238</v>
      </c>
      <c r="V96" s="24">
        <v>43395</v>
      </c>
      <c r="W96" s="25">
        <v>117.97942399999999</v>
      </c>
      <c r="X96" s="28">
        <f t="shared" si="12"/>
        <v>-1.4958567567430192E-2</v>
      </c>
      <c r="Z96" s="24">
        <v>43395</v>
      </c>
      <c r="AA96" s="27">
        <v>2658.69</v>
      </c>
      <c r="AB96" s="28">
        <f t="shared" si="13"/>
        <v>-3.9414259803886242E-2</v>
      </c>
    </row>
    <row r="97" spans="2:28" x14ac:dyDescent="0.35">
      <c r="B97" s="24">
        <v>43402</v>
      </c>
      <c r="C97" s="25">
        <v>158.194275</v>
      </c>
      <c r="D97" s="28">
        <f t="shared" si="7"/>
        <v>5.8072913227689149E-3</v>
      </c>
      <c r="F97" s="24">
        <v>43402</v>
      </c>
      <c r="G97" s="25">
        <v>62.394317999999998</v>
      </c>
      <c r="H97" s="28">
        <f t="shared" si="8"/>
        <v>-1.5224718090296352E-2</v>
      </c>
      <c r="J97" s="24">
        <v>43402</v>
      </c>
      <c r="K97" s="233">
        <v>42.166812999999998</v>
      </c>
      <c r="L97" s="28">
        <f t="shared" si="9"/>
        <v>5.1556439178326308E-3</v>
      </c>
      <c r="N97" s="24">
        <v>43402</v>
      </c>
      <c r="O97" s="25">
        <v>32.889294</v>
      </c>
      <c r="P97" s="28">
        <f t="shared" si="10"/>
        <v>7.7465167423871328E-3</v>
      </c>
      <c r="R97" s="24">
        <v>43402</v>
      </c>
      <c r="S97" s="233">
        <v>352.58999599999999</v>
      </c>
      <c r="T97" s="28">
        <f t="shared" si="11"/>
        <v>4.9937432703347051E-2</v>
      </c>
      <c r="V97" s="24">
        <v>43402</v>
      </c>
      <c r="W97" s="25">
        <v>121.17501799999999</v>
      </c>
      <c r="X97" s="28">
        <f t="shared" si="12"/>
        <v>2.7086028153519459E-2</v>
      </c>
      <c r="Z97" s="24">
        <v>43402</v>
      </c>
      <c r="AA97" s="27">
        <v>2723.06</v>
      </c>
      <c r="AB97" s="28">
        <f t="shared" si="13"/>
        <v>2.4211171667249509E-2</v>
      </c>
    </row>
    <row r="98" spans="2:28" x14ac:dyDescent="0.35">
      <c r="B98" s="24">
        <v>43409</v>
      </c>
      <c r="C98" s="25">
        <v>163.35301200000001</v>
      </c>
      <c r="D98" s="28">
        <f t="shared" si="7"/>
        <v>3.2610137124115202E-2</v>
      </c>
      <c r="F98" s="24">
        <v>43409</v>
      </c>
      <c r="G98" s="25">
        <v>69.632874000000001</v>
      </c>
      <c r="H98" s="28">
        <f t="shared" si="8"/>
        <v>0.1160130638818746</v>
      </c>
      <c r="J98" s="24">
        <v>43409</v>
      </c>
      <c r="K98" s="233">
        <v>44.41283</v>
      </c>
      <c r="L98" s="28">
        <f t="shared" si="9"/>
        <v>5.3265040447804335E-2</v>
      </c>
      <c r="N98" s="24">
        <v>43409</v>
      </c>
      <c r="O98" s="25">
        <v>33.923541999999998</v>
      </c>
      <c r="P98" s="28">
        <f t="shared" si="10"/>
        <v>3.1446342387282611E-2</v>
      </c>
      <c r="R98" s="24">
        <v>43409</v>
      </c>
      <c r="S98" s="233">
        <v>356.66000400000001</v>
      </c>
      <c r="T98" s="28">
        <f t="shared" si="11"/>
        <v>1.1543174923204669E-2</v>
      </c>
      <c r="V98" s="24">
        <v>43409</v>
      </c>
      <c r="W98" s="25">
        <v>125.188934</v>
      </c>
      <c r="X98" s="28">
        <f t="shared" si="12"/>
        <v>3.3124946595840532E-2</v>
      </c>
      <c r="Z98" s="24">
        <v>43409</v>
      </c>
      <c r="AA98" s="27">
        <v>2781.01</v>
      </c>
      <c r="AB98" s="28">
        <f t="shared" si="13"/>
        <v>2.1281205702408323E-2</v>
      </c>
    </row>
    <row r="99" spans="2:28" x14ac:dyDescent="0.35">
      <c r="B99" s="24">
        <v>43416</v>
      </c>
      <c r="C99" s="25">
        <v>164.215576</v>
      </c>
      <c r="D99" s="28">
        <f t="shared" si="7"/>
        <v>5.280367894287652E-3</v>
      </c>
      <c r="F99" s="24">
        <v>43416</v>
      </c>
      <c r="G99" s="25">
        <v>71.781700000000001</v>
      </c>
      <c r="H99" s="28">
        <f t="shared" si="8"/>
        <v>3.0859361054090595E-2</v>
      </c>
      <c r="J99" s="24">
        <v>43416</v>
      </c>
      <c r="K99" s="233">
        <v>44.978493</v>
      </c>
      <c r="L99" s="28">
        <f t="shared" si="9"/>
        <v>1.27364772746974E-2</v>
      </c>
      <c r="N99" s="24">
        <v>43416</v>
      </c>
      <c r="O99" s="25">
        <v>33.590862000000001</v>
      </c>
      <c r="P99" s="28">
        <f t="shared" si="10"/>
        <v>-9.8067589758167317E-3</v>
      </c>
      <c r="R99" s="24">
        <v>43416</v>
      </c>
      <c r="S99" s="233">
        <v>345.32998700000002</v>
      </c>
      <c r="T99" s="28">
        <f t="shared" si="11"/>
        <v>-3.1766996223103305E-2</v>
      </c>
      <c r="V99" s="24">
        <v>43416</v>
      </c>
      <c r="W99" s="25">
        <v>125.748817</v>
      </c>
      <c r="X99" s="28">
        <f t="shared" si="12"/>
        <v>4.472304237369773E-3</v>
      </c>
      <c r="Z99" s="24">
        <v>43416</v>
      </c>
      <c r="AA99" s="27">
        <v>2736.27</v>
      </c>
      <c r="AB99" s="28">
        <f t="shared" si="13"/>
        <v>-1.6087680375115654E-2</v>
      </c>
    </row>
    <row r="100" spans="2:28" x14ac:dyDescent="0.35">
      <c r="B100" s="24">
        <v>43423</v>
      </c>
      <c r="C100" s="25">
        <v>163.99118000000001</v>
      </c>
      <c r="D100" s="28">
        <f t="shared" si="7"/>
        <v>-1.3664720817956333E-3</v>
      </c>
      <c r="F100" s="24">
        <v>43423</v>
      </c>
      <c r="G100" s="25">
        <v>67.154670999999993</v>
      </c>
      <c r="H100" s="28">
        <f t="shared" si="8"/>
        <v>-6.4459729986890868E-2</v>
      </c>
      <c r="J100" s="24">
        <v>43423</v>
      </c>
      <c r="K100" s="233">
        <v>44.030169999999998</v>
      </c>
      <c r="L100" s="28">
        <f t="shared" si="9"/>
        <v>-2.1083921153160934E-2</v>
      </c>
      <c r="N100" s="24">
        <v>43423</v>
      </c>
      <c r="O100" s="25">
        <v>33.305218000000004</v>
      </c>
      <c r="P100" s="28">
        <f t="shared" si="10"/>
        <v>-8.5036222053485044E-3</v>
      </c>
      <c r="R100" s="24">
        <v>43423</v>
      </c>
      <c r="S100" s="233">
        <v>340.85998499999999</v>
      </c>
      <c r="T100" s="28">
        <f t="shared" si="11"/>
        <v>-1.2944146666301615E-2</v>
      </c>
      <c r="V100" s="24">
        <v>43423</v>
      </c>
      <c r="W100" s="25">
        <v>122.51011699999999</v>
      </c>
      <c r="X100" s="28">
        <f t="shared" si="12"/>
        <v>-2.5755311877009635E-2</v>
      </c>
      <c r="Z100" s="24">
        <v>43423</v>
      </c>
      <c r="AA100" s="27">
        <v>2632.56</v>
      </c>
      <c r="AB100" s="28">
        <f t="shared" si="13"/>
        <v>-3.7901961429244957E-2</v>
      </c>
    </row>
    <row r="101" spans="2:28" x14ac:dyDescent="0.35">
      <c r="B101" s="24">
        <v>43430</v>
      </c>
      <c r="C101" s="25">
        <v>177.344131</v>
      </c>
      <c r="D101" s="28">
        <f t="shared" si="7"/>
        <v>8.1424811992937496E-2</v>
      </c>
      <c r="F101" s="24">
        <v>43430</v>
      </c>
      <c r="G101" s="25">
        <v>73.930519000000004</v>
      </c>
      <c r="H101" s="28">
        <f t="shared" si="8"/>
        <v>0.10089913179680399</v>
      </c>
      <c r="J101" s="24">
        <v>43430</v>
      </c>
      <c r="K101" s="233">
        <v>44.471057999999999</v>
      </c>
      <c r="L101" s="28">
        <f t="shared" si="9"/>
        <v>1.0013315869550343E-2</v>
      </c>
      <c r="N101" s="24">
        <v>43430</v>
      </c>
      <c r="O101" s="25">
        <v>35.690776999999997</v>
      </c>
      <c r="P101" s="28">
        <f t="shared" si="10"/>
        <v>7.1627184665177479E-2</v>
      </c>
      <c r="R101" s="24">
        <v>43430</v>
      </c>
      <c r="S101" s="233">
        <v>365.64999399999999</v>
      </c>
      <c r="T101" s="28">
        <f t="shared" si="11"/>
        <v>7.2727835741704938E-2</v>
      </c>
      <c r="V101" s="24">
        <v>43430</v>
      </c>
      <c r="W101" s="25">
        <v>126.532646</v>
      </c>
      <c r="X101" s="28">
        <f t="shared" si="12"/>
        <v>3.2834259720770698E-2</v>
      </c>
      <c r="Z101" s="24">
        <v>43430</v>
      </c>
      <c r="AA101" s="27">
        <v>2760.17</v>
      </c>
      <c r="AB101" s="28">
        <f t="shared" si="13"/>
        <v>4.8473728993831067E-2</v>
      </c>
    </row>
    <row r="102" spans="2:28" x14ac:dyDescent="0.35">
      <c r="B102" s="24">
        <v>43437</v>
      </c>
      <c r="C102" s="25">
        <v>163.028854</v>
      </c>
      <c r="D102" s="28">
        <f t="shared" si="7"/>
        <v>-8.0720331252461919E-2</v>
      </c>
      <c r="F102" s="24">
        <v>43437</v>
      </c>
      <c r="G102" s="25">
        <v>68.197722999999996</v>
      </c>
      <c r="H102" s="28">
        <f t="shared" si="8"/>
        <v>-7.7543023876242567E-2</v>
      </c>
      <c r="J102" s="24">
        <v>43437</v>
      </c>
      <c r="K102" s="233">
        <v>44.154952999999999</v>
      </c>
      <c r="L102" s="28">
        <f t="shared" si="9"/>
        <v>-7.1081061305084958E-3</v>
      </c>
      <c r="N102" s="24">
        <v>43437</v>
      </c>
      <c r="O102" s="25">
        <v>33.907393999999996</v>
      </c>
      <c r="P102" s="28">
        <f t="shared" si="10"/>
        <v>-4.9967614882690858E-2</v>
      </c>
      <c r="R102" s="24">
        <v>43437</v>
      </c>
      <c r="S102" s="233">
        <v>372.82998700000002</v>
      </c>
      <c r="T102" s="28">
        <f t="shared" si="11"/>
        <v>1.9636245365287852E-2</v>
      </c>
      <c r="V102" s="24">
        <v>43437</v>
      </c>
      <c r="W102" s="25">
        <v>126.064171</v>
      </c>
      <c r="X102" s="28">
        <f t="shared" si="12"/>
        <v>-3.7024042000987079E-3</v>
      </c>
      <c r="Z102" s="24">
        <v>43437</v>
      </c>
      <c r="AA102" s="27">
        <v>2633.08</v>
      </c>
      <c r="AB102" s="28">
        <f t="shared" si="13"/>
        <v>-4.6044265389450723E-2</v>
      </c>
    </row>
    <row r="103" spans="2:28" x14ac:dyDescent="0.35">
      <c r="B103" s="24">
        <v>43444</v>
      </c>
      <c r="C103" s="25">
        <v>163.56535299999999</v>
      </c>
      <c r="D103" s="28">
        <f t="shared" si="7"/>
        <v>3.290822371848412E-3</v>
      </c>
      <c r="F103" s="24">
        <v>43444</v>
      </c>
      <c r="G103" s="25">
        <v>67.138992000000002</v>
      </c>
      <c r="H103" s="28">
        <f t="shared" si="8"/>
        <v>-1.5524433271767668E-2</v>
      </c>
      <c r="J103" s="24">
        <v>43444</v>
      </c>
      <c r="K103" s="233">
        <v>43.356369000000001</v>
      </c>
      <c r="L103" s="28">
        <f t="shared" si="9"/>
        <v>-1.8085943835111751E-2</v>
      </c>
      <c r="N103" s="24">
        <v>43444</v>
      </c>
      <c r="O103" s="25">
        <v>33.814751000000001</v>
      </c>
      <c r="P103" s="28">
        <f t="shared" si="10"/>
        <v>-2.7322359247070604E-3</v>
      </c>
      <c r="R103" s="24">
        <v>43444</v>
      </c>
      <c r="S103" s="233">
        <v>381.17001299999998</v>
      </c>
      <c r="T103" s="28">
        <f t="shared" si="11"/>
        <v>2.2369515035816967E-2</v>
      </c>
      <c r="V103" s="24">
        <v>43444</v>
      </c>
      <c r="W103" s="25">
        <v>115.28937500000001</v>
      </c>
      <c r="X103" s="28">
        <f t="shared" si="12"/>
        <v>-8.5470724271053955E-2</v>
      </c>
      <c r="Z103" s="24">
        <v>43444</v>
      </c>
      <c r="AA103" s="27">
        <v>2599.9499999999998</v>
      </c>
      <c r="AB103" s="28">
        <f t="shared" si="13"/>
        <v>-1.2582223099943834E-2</v>
      </c>
    </row>
    <row r="104" spans="2:28" x14ac:dyDescent="0.35">
      <c r="B104" s="24">
        <v>43451</v>
      </c>
      <c r="C104" s="25">
        <v>153.46553</v>
      </c>
      <c r="D104" s="28">
        <f t="shared" si="7"/>
        <v>-6.1747936312649188E-2</v>
      </c>
      <c r="F104" s="24">
        <v>43451</v>
      </c>
      <c r="G104" s="25">
        <v>66.597847000000002</v>
      </c>
      <c r="H104" s="28">
        <f t="shared" si="8"/>
        <v>-8.0600703686465325E-3</v>
      </c>
      <c r="J104" s="24">
        <v>43451</v>
      </c>
      <c r="K104" s="233">
        <v>41.443095999999997</v>
      </c>
      <c r="L104" s="28">
        <f t="shared" si="9"/>
        <v>-4.4128995211753175E-2</v>
      </c>
      <c r="N104" s="24">
        <v>43451</v>
      </c>
      <c r="O104" s="25">
        <v>32.371062999999999</v>
      </c>
      <c r="P104" s="28">
        <f t="shared" si="10"/>
        <v>-4.2694030188186294E-2</v>
      </c>
      <c r="R104" s="24">
        <v>43451</v>
      </c>
      <c r="S104" s="233">
        <v>344.60000600000001</v>
      </c>
      <c r="T104" s="28">
        <f t="shared" si="11"/>
        <v>-9.5941458542805114E-2</v>
      </c>
      <c r="V104" s="24">
        <v>43451</v>
      </c>
      <c r="W104" s="25">
        <v>111.03321800000001</v>
      </c>
      <c r="X104" s="28">
        <f t="shared" si="12"/>
        <v>-3.6917166044138972E-2</v>
      </c>
      <c r="Z104" s="24">
        <v>43451</v>
      </c>
      <c r="AA104" s="27">
        <v>2416.62</v>
      </c>
      <c r="AB104" s="28">
        <f t="shared" si="13"/>
        <v>-7.0512894478739985E-2</v>
      </c>
    </row>
    <row r="105" spans="2:28" x14ac:dyDescent="0.35">
      <c r="B105" s="24">
        <v>43458</v>
      </c>
      <c r="C105" s="25">
        <v>162.42422500000001</v>
      </c>
      <c r="D105" s="28">
        <f t="shared" si="7"/>
        <v>5.8375942793147173E-2</v>
      </c>
      <c r="F105" s="24">
        <v>43458</v>
      </c>
      <c r="G105" s="25">
        <v>71.460151999999994</v>
      </c>
      <c r="H105" s="28">
        <f t="shared" si="8"/>
        <v>7.3009942798901495E-2</v>
      </c>
      <c r="J105" s="24">
        <v>43458</v>
      </c>
      <c r="K105" s="233">
        <v>42.374766999999999</v>
      </c>
      <c r="L105" s="28">
        <f t="shared" si="9"/>
        <v>2.2480728756365087E-2</v>
      </c>
      <c r="N105" s="24">
        <v>43458</v>
      </c>
      <c r="O105" s="25">
        <v>33.166252</v>
      </c>
      <c r="P105" s="28">
        <f t="shared" si="10"/>
        <v>2.45648096264246E-2</v>
      </c>
      <c r="R105" s="24">
        <v>43458</v>
      </c>
      <c r="S105" s="233">
        <v>362.61999500000002</v>
      </c>
      <c r="T105" s="28">
        <f t="shared" si="11"/>
        <v>5.2292480227060789E-2</v>
      </c>
      <c r="V105" s="24">
        <v>43458</v>
      </c>
      <c r="W105" s="25">
        <v>110.322418</v>
      </c>
      <c r="X105" s="28">
        <f t="shared" si="12"/>
        <v>-6.4016878264304689E-3</v>
      </c>
      <c r="Z105" s="24">
        <v>43458</v>
      </c>
      <c r="AA105" s="27">
        <v>2485.7399999999998</v>
      </c>
      <c r="AB105" s="28">
        <f t="shared" si="13"/>
        <v>2.8601931623507104E-2</v>
      </c>
    </row>
    <row r="106" spans="2:28" x14ac:dyDescent="0.35">
      <c r="B106" s="24">
        <v>43465</v>
      </c>
      <c r="C106" s="25">
        <v>166.43524199999999</v>
      </c>
      <c r="D106" s="28">
        <f t="shared" si="7"/>
        <v>2.4694696865569021E-2</v>
      </c>
      <c r="F106" s="24">
        <v>43465</v>
      </c>
      <c r="G106" s="25">
        <v>69.852478000000005</v>
      </c>
      <c r="H106" s="28">
        <f t="shared" si="8"/>
        <v>-2.2497489230081547E-2</v>
      </c>
      <c r="J106" s="24">
        <v>43465</v>
      </c>
      <c r="K106" s="233">
        <v>39.005760000000002</v>
      </c>
      <c r="L106" s="28">
        <f t="shared" si="9"/>
        <v>-7.9505027130886585E-2</v>
      </c>
      <c r="N106" s="24">
        <v>43465</v>
      </c>
      <c r="O106" s="25">
        <v>33.197127999999999</v>
      </c>
      <c r="P106" s="28">
        <f t="shared" si="10"/>
        <v>9.3094631253487492E-4</v>
      </c>
      <c r="R106" s="24">
        <v>43465</v>
      </c>
      <c r="S106" s="233">
        <v>397.54998799999998</v>
      </c>
      <c r="T106" s="28">
        <f t="shared" si="11"/>
        <v>9.6326715243598038E-2</v>
      </c>
      <c r="V106" s="24">
        <v>43465</v>
      </c>
      <c r="W106" s="25">
        <v>110.807823</v>
      </c>
      <c r="X106" s="28">
        <f t="shared" si="12"/>
        <v>4.3998763696422305E-3</v>
      </c>
      <c r="Z106" s="24">
        <v>43465</v>
      </c>
      <c r="AA106" s="27">
        <v>2531.94</v>
      </c>
      <c r="AB106" s="28">
        <f t="shared" si="13"/>
        <v>1.8586014627435032E-2</v>
      </c>
    </row>
    <row r="107" spans="2:28" x14ac:dyDescent="0.35">
      <c r="B107" s="24">
        <v>43472</v>
      </c>
      <c r="C107" s="25">
        <v>170.79541</v>
      </c>
      <c r="D107" s="28">
        <f t="shared" si="7"/>
        <v>2.6197384325610695E-2</v>
      </c>
      <c r="F107" s="24">
        <v>43472</v>
      </c>
      <c r="G107" s="25">
        <v>69.256446999999994</v>
      </c>
      <c r="H107" s="28">
        <f t="shared" si="8"/>
        <v>-8.532710893950135E-3</v>
      </c>
      <c r="J107" s="24">
        <v>43472</v>
      </c>
      <c r="K107" s="233">
        <v>40.235439</v>
      </c>
      <c r="L107" s="28">
        <f t="shared" si="9"/>
        <v>3.152557468435413E-2</v>
      </c>
      <c r="N107" s="24">
        <v>43472</v>
      </c>
      <c r="O107" s="25">
        <v>33.104492</v>
      </c>
      <c r="P107" s="28">
        <f t="shared" si="10"/>
        <v>-2.7904823573894344E-3</v>
      </c>
      <c r="R107" s="24">
        <v>43472</v>
      </c>
      <c r="S107" s="233">
        <v>408.63000499999998</v>
      </c>
      <c r="T107" s="28">
        <f t="shared" si="11"/>
        <v>2.7870751690225237E-2</v>
      </c>
      <c r="V107" s="24">
        <v>43472</v>
      </c>
      <c r="W107" s="25">
        <v>112.47215300000001</v>
      </c>
      <c r="X107" s="28">
        <f t="shared" si="12"/>
        <v>1.5019968400606487E-2</v>
      </c>
      <c r="Z107" s="24">
        <v>43472</v>
      </c>
      <c r="AA107" s="27">
        <v>2596.2600000000002</v>
      </c>
      <c r="AB107" s="28">
        <f t="shared" si="13"/>
        <v>2.5403445579279094E-2</v>
      </c>
    </row>
    <row r="108" spans="2:28" x14ac:dyDescent="0.35">
      <c r="B108" s="24">
        <v>43479</v>
      </c>
      <c r="C108" s="25">
        <v>173.62271100000001</v>
      </c>
      <c r="D108" s="28">
        <f t="shared" si="7"/>
        <v>1.6553729400573536E-2</v>
      </c>
      <c r="F108" s="24">
        <v>43479</v>
      </c>
      <c r="G108" s="25">
        <v>70.189689999999999</v>
      </c>
      <c r="H108" s="28">
        <f t="shared" si="8"/>
        <v>1.3475178707911484E-2</v>
      </c>
      <c r="J108" s="24">
        <v>43479</v>
      </c>
      <c r="K108" s="233">
        <v>42.021259000000001</v>
      </c>
      <c r="L108" s="28">
        <f t="shared" si="9"/>
        <v>4.4384255382425408E-2</v>
      </c>
      <c r="N108" s="24">
        <v>43479</v>
      </c>
      <c r="O108" s="25">
        <v>32.834274000000001</v>
      </c>
      <c r="P108" s="28">
        <f t="shared" si="10"/>
        <v>-8.1625780573826301E-3</v>
      </c>
      <c r="R108" s="24">
        <v>43479</v>
      </c>
      <c r="S108" s="233">
        <v>418.83999599999999</v>
      </c>
      <c r="T108" s="28">
        <f t="shared" si="11"/>
        <v>2.4985906260114321E-2</v>
      </c>
      <c r="V108" s="24">
        <v>43479</v>
      </c>
      <c r="W108" s="25">
        <v>113.286987</v>
      </c>
      <c r="X108" s="28">
        <f t="shared" si="12"/>
        <v>7.2447621768207959E-3</v>
      </c>
      <c r="Z108" s="24">
        <v>43479</v>
      </c>
      <c r="AA108" s="27">
        <v>2670.71</v>
      </c>
      <c r="AB108" s="28">
        <f t="shared" si="13"/>
        <v>2.8675864512799132E-2</v>
      </c>
    </row>
    <row r="109" spans="2:28" x14ac:dyDescent="0.35">
      <c r="B109" s="24">
        <v>43486</v>
      </c>
      <c r="C109" s="25">
        <v>169.27105700000001</v>
      </c>
      <c r="D109" s="28">
        <f t="shared" si="7"/>
        <v>-2.5063852389679564E-2</v>
      </c>
      <c r="F109" s="24">
        <v>43486</v>
      </c>
      <c r="G109" s="25">
        <v>63.937584000000001</v>
      </c>
      <c r="H109" s="28">
        <f t="shared" si="8"/>
        <v>-8.9074421043888297E-2</v>
      </c>
      <c r="J109" s="24">
        <v>43486</v>
      </c>
      <c r="K109" s="233">
        <v>41.023552000000002</v>
      </c>
      <c r="L109" s="28">
        <f t="shared" si="9"/>
        <v>-2.3742910701461839E-2</v>
      </c>
      <c r="N109" s="24">
        <v>43486</v>
      </c>
      <c r="O109" s="25">
        <v>31.375150999999999</v>
      </c>
      <c r="P109" s="28">
        <f t="shared" si="10"/>
        <v>-4.4439021249563893E-2</v>
      </c>
      <c r="R109" s="24">
        <v>43486</v>
      </c>
      <c r="S109" s="233">
        <v>418.290009</v>
      </c>
      <c r="T109" s="28">
        <f t="shared" si="11"/>
        <v>-1.3131195808721019E-3</v>
      </c>
      <c r="V109" s="24">
        <v>43486</v>
      </c>
      <c r="W109" s="25">
        <v>111.154572</v>
      </c>
      <c r="X109" s="28">
        <f t="shared" si="12"/>
        <v>-1.8823123965685418E-2</v>
      </c>
      <c r="Z109" s="24">
        <v>43486</v>
      </c>
      <c r="AA109" s="27">
        <v>2664.76</v>
      </c>
      <c r="AB109" s="28">
        <f t="shared" si="13"/>
        <v>-2.2278719890964638E-3</v>
      </c>
    </row>
    <row r="110" spans="2:28" x14ac:dyDescent="0.35">
      <c r="B110" s="24">
        <v>43493</v>
      </c>
      <c r="C110" s="25">
        <v>159.307388</v>
      </c>
      <c r="D110" s="28">
        <f t="shared" si="7"/>
        <v>-5.8862212929880919E-2</v>
      </c>
      <c r="F110" s="24">
        <v>43493</v>
      </c>
      <c r="G110" s="25">
        <v>63.905830000000002</v>
      </c>
      <c r="H110" s="28">
        <f t="shared" si="8"/>
        <v>-4.9664059874388045E-4</v>
      </c>
      <c r="J110" s="24">
        <v>43493</v>
      </c>
      <c r="K110" s="233">
        <v>41.828418999999997</v>
      </c>
      <c r="L110" s="28">
        <f t="shared" si="9"/>
        <v>1.9619632156669287E-2</v>
      </c>
      <c r="N110" s="24">
        <v>43493</v>
      </c>
      <c r="O110" s="25">
        <v>33.104492</v>
      </c>
      <c r="P110" s="28">
        <f t="shared" si="10"/>
        <v>5.5118172977079993E-2</v>
      </c>
      <c r="R110" s="24">
        <v>43493</v>
      </c>
      <c r="S110" s="233">
        <v>430.14999399999999</v>
      </c>
      <c r="T110" s="28">
        <f t="shared" si="11"/>
        <v>2.8353498158737889E-2</v>
      </c>
      <c r="V110" s="24">
        <v>43493</v>
      </c>
      <c r="W110" s="25">
        <v>116.32959</v>
      </c>
      <c r="X110" s="28">
        <f t="shared" si="12"/>
        <v>4.6556951341596653E-2</v>
      </c>
      <c r="Z110" s="24">
        <v>43493</v>
      </c>
      <c r="AA110" s="27">
        <v>2706.53</v>
      </c>
      <c r="AB110" s="28">
        <f t="shared" si="13"/>
        <v>1.5674957594680183E-2</v>
      </c>
    </row>
    <row r="111" spans="2:28" x14ac:dyDescent="0.35">
      <c r="B111" s="24">
        <v>43500</v>
      </c>
      <c r="C111" s="25">
        <v>158.396255</v>
      </c>
      <c r="D111" s="28">
        <f t="shared" si="7"/>
        <v>-5.7193392688102973E-3</v>
      </c>
      <c r="F111" s="24">
        <v>43500</v>
      </c>
      <c r="G111" s="25">
        <v>63.246924999999997</v>
      </c>
      <c r="H111" s="28">
        <f t="shared" si="8"/>
        <v>-1.0310561649852668E-2</v>
      </c>
      <c r="J111" s="24">
        <v>43500</v>
      </c>
      <c r="K111" s="233">
        <v>42.105110000000003</v>
      </c>
      <c r="L111" s="28">
        <f t="shared" si="9"/>
        <v>6.6149045700245601E-3</v>
      </c>
      <c r="N111" s="24">
        <v>43500</v>
      </c>
      <c r="O111" s="25">
        <v>32.887408999999998</v>
      </c>
      <c r="P111" s="28">
        <f t="shared" si="10"/>
        <v>-6.5575088722099606E-3</v>
      </c>
      <c r="R111" s="24">
        <v>43500</v>
      </c>
      <c r="S111" s="233">
        <v>406.85998499999999</v>
      </c>
      <c r="T111" s="28">
        <f t="shared" si="11"/>
        <v>-5.4143924967717139E-2</v>
      </c>
      <c r="V111" s="24">
        <v>43500</v>
      </c>
      <c r="W111" s="25">
        <v>114.769272</v>
      </c>
      <c r="X111" s="28">
        <f t="shared" si="12"/>
        <v>-1.3412907240539562E-2</v>
      </c>
      <c r="Z111" s="24">
        <v>43500</v>
      </c>
      <c r="AA111" s="27">
        <v>2707.88</v>
      </c>
      <c r="AB111" s="28">
        <f t="shared" si="13"/>
        <v>4.9879365830052258E-4</v>
      </c>
    </row>
    <row r="112" spans="2:28" x14ac:dyDescent="0.35">
      <c r="B112" s="24">
        <v>43507</v>
      </c>
      <c r="C112" s="25">
        <v>160.38896199999999</v>
      </c>
      <c r="D112" s="28">
        <f t="shared" si="7"/>
        <v>1.2580518396726026E-2</v>
      </c>
      <c r="F112" s="24">
        <v>43507</v>
      </c>
      <c r="G112" s="25">
        <v>64.183678</v>
      </c>
      <c r="H112" s="28">
        <f t="shared" si="8"/>
        <v>1.4811044173293819E-2</v>
      </c>
      <c r="J112" s="24">
        <v>43507</v>
      </c>
      <c r="K112" s="233">
        <v>43.320793000000002</v>
      </c>
      <c r="L112" s="28">
        <f t="shared" si="9"/>
        <v>2.8872576273996087E-2</v>
      </c>
      <c r="N112" s="24">
        <v>43507</v>
      </c>
      <c r="O112" s="25">
        <v>33.019798000000002</v>
      </c>
      <c r="P112" s="28">
        <f t="shared" si="10"/>
        <v>4.0255223511223015E-3</v>
      </c>
      <c r="R112" s="24">
        <v>43507</v>
      </c>
      <c r="S112" s="233">
        <v>423.97000100000002</v>
      </c>
      <c r="T112" s="28">
        <f t="shared" si="11"/>
        <v>4.2053818588230207E-2</v>
      </c>
      <c r="V112" s="24">
        <v>43507</v>
      </c>
      <c r="W112" s="25">
        <v>118.219292</v>
      </c>
      <c r="X112" s="28">
        <f t="shared" si="12"/>
        <v>3.0060485179343122E-2</v>
      </c>
      <c r="Z112" s="24">
        <v>43507</v>
      </c>
      <c r="AA112" s="27">
        <v>2775.6</v>
      </c>
      <c r="AB112" s="28">
        <f t="shared" si="13"/>
        <v>2.500849372941194E-2</v>
      </c>
    </row>
    <row r="113" spans="2:28" x14ac:dyDescent="0.35">
      <c r="B113" s="24">
        <v>43514</v>
      </c>
      <c r="C113" s="25">
        <v>160.90820299999999</v>
      </c>
      <c r="D113" s="28">
        <f t="shared" si="7"/>
        <v>3.2373861238654822E-3</v>
      </c>
      <c r="F113" s="24">
        <v>43514</v>
      </c>
      <c r="G113" s="25">
        <v>63.524765000000002</v>
      </c>
      <c r="H113" s="28">
        <f t="shared" si="8"/>
        <v>-1.0266052375496382E-2</v>
      </c>
      <c r="J113" s="24">
        <v>43514</v>
      </c>
      <c r="K113" s="233">
        <v>42.742286999999997</v>
      </c>
      <c r="L113" s="28">
        <f t="shared" si="9"/>
        <v>-1.3354003007285731E-2</v>
      </c>
      <c r="N113" s="24">
        <v>43514</v>
      </c>
      <c r="O113" s="25">
        <v>33.455910000000003</v>
      </c>
      <c r="P113" s="28">
        <f t="shared" si="10"/>
        <v>1.3207591397137008E-2</v>
      </c>
      <c r="R113" s="24">
        <v>43514</v>
      </c>
      <c r="S113" s="233">
        <v>422.51998900000001</v>
      </c>
      <c r="T113" s="28">
        <f t="shared" si="11"/>
        <v>-3.4200816014811064E-3</v>
      </c>
      <c r="V113" s="24">
        <v>43514</v>
      </c>
      <c r="W113" s="25">
        <v>118.41001900000001</v>
      </c>
      <c r="X113" s="28">
        <f t="shared" si="12"/>
        <v>1.613332280826052E-3</v>
      </c>
      <c r="Z113" s="24">
        <v>43514</v>
      </c>
      <c r="AA113" s="27">
        <v>2792.67</v>
      </c>
      <c r="AB113" s="28">
        <f t="shared" si="13"/>
        <v>6.1500216169476651E-3</v>
      </c>
    </row>
    <row r="114" spans="2:28" x14ac:dyDescent="0.35">
      <c r="B114" s="24">
        <v>43521</v>
      </c>
      <c r="C114" s="25">
        <v>164.049149</v>
      </c>
      <c r="D114" s="28">
        <f t="shared" si="7"/>
        <v>1.9520111103347615E-2</v>
      </c>
      <c r="F114" s="24">
        <v>43521</v>
      </c>
      <c r="G114" s="25">
        <v>63.588267999999999</v>
      </c>
      <c r="H114" s="28">
        <f t="shared" si="8"/>
        <v>9.9965737771712249E-4</v>
      </c>
      <c r="J114" s="24">
        <v>43521</v>
      </c>
      <c r="K114" s="233">
        <v>44.620345999999998</v>
      </c>
      <c r="L114" s="28">
        <f t="shared" si="9"/>
        <v>4.3939132222849953E-2</v>
      </c>
      <c r="N114" s="24">
        <v>43521</v>
      </c>
      <c r="O114" s="25">
        <v>33.767414000000002</v>
      </c>
      <c r="P114" s="28">
        <f t="shared" si="10"/>
        <v>9.3108810969422251E-3</v>
      </c>
      <c r="R114" s="24">
        <v>43521</v>
      </c>
      <c r="S114" s="233">
        <v>439.57000699999998</v>
      </c>
      <c r="T114" s="28">
        <f t="shared" si="11"/>
        <v>4.0353163031062955E-2</v>
      </c>
      <c r="V114" s="24">
        <v>43521</v>
      </c>
      <c r="W114" s="25">
        <v>119.92697099999999</v>
      </c>
      <c r="X114" s="28">
        <f t="shared" si="12"/>
        <v>1.2811010527749245E-2</v>
      </c>
      <c r="Z114" s="24">
        <v>43521</v>
      </c>
      <c r="AA114" s="27">
        <v>2803.69</v>
      </c>
      <c r="AB114" s="28">
        <f t="shared" si="13"/>
        <v>3.946044466406784E-3</v>
      </c>
    </row>
    <row r="115" spans="2:28" x14ac:dyDescent="0.35">
      <c r="B115" s="24">
        <v>43528</v>
      </c>
      <c r="C115" s="25">
        <v>155.21852100000001</v>
      </c>
      <c r="D115" s="28">
        <f t="shared" si="7"/>
        <v>-5.3829160674280563E-2</v>
      </c>
      <c r="F115" s="24">
        <v>43528</v>
      </c>
      <c r="G115" s="25">
        <v>61.587738000000002</v>
      </c>
      <c r="H115" s="28">
        <f t="shared" si="8"/>
        <v>-3.1460677620595012E-2</v>
      </c>
      <c r="J115" s="24">
        <v>43528</v>
      </c>
      <c r="K115" s="233">
        <v>43.086036999999997</v>
      </c>
      <c r="L115" s="28">
        <f t="shared" si="9"/>
        <v>-3.4385860656481748E-2</v>
      </c>
      <c r="N115" s="24">
        <v>43528</v>
      </c>
      <c r="O115" s="25">
        <v>31.843858999999998</v>
      </c>
      <c r="P115" s="28">
        <f t="shared" si="10"/>
        <v>-5.6964830057759319E-2</v>
      </c>
      <c r="R115" s="24">
        <v>43528</v>
      </c>
      <c r="S115" s="233">
        <v>402.64001500000001</v>
      </c>
      <c r="T115" s="28">
        <f t="shared" si="11"/>
        <v>-8.4013903159684822E-2</v>
      </c>
      <c r="V115" s="24">
        <v>43528</v>
      </c>
      <c r="W115" s="25">
        <v>120.46933</v>
      </c>
      <c r="X115" s="28">
        <f t="shared" si="12"/>
        <v>4.5224105593395514E-3</v>
      </c>
      <c r="Z115" s="24">
        <v>43528</v>
      </c>
      <c r="AA115" s="27">
        <v>2743.07</v>
      </c>
      <c r="AB115" s="28">
        <f t="shared" si="13"/>
        <v>-2.1621505943952402E-2</v>
      </c>
    </row>
    <row r="116" spans="2:28" x14ac:dyDescent="0.35">
      <c r="B116" s="24">
        <v>43535</v>
      </c>
      <c r="C116" s="25">
        <v>164.11781300000001</v>
      </c>
      <c r="D116" s="28">
        <f t="shared" si="7"/>
        <v>5.7333956944480846E-2</v>
      </c>
      <c r="F116" s="24">
        <v>43535</v>
      </c>
      <c r="G116" s="25">
        <v>64.572661999999994</v>
      </c>
      <c r="H116" s="28">
        <f t="shared" si="8"/>
        <v>4.8466206049002647E-2</v>
      </c>
      <c r="J116" s="24">
        <v>43535</v>
      </c>
      <c r="K116" s="233">
        <v>41.887112000000002</v>
      </c>
      <c r="L116" s="28">
        <f t="shared" si="9"/>
        <v>-2.7826300200224807E-2</v>
      </c>
      <c r="N116" s="24">
        <v>43535</v>
      </c>
      <c r="O116" s="25">
        <v>32.536968000000002</v>
      </c>
      <c r="P116" s="28">
        <f t="shared" si="10"/>
        <v>2.176586072686737E-2</v>
      </c>
      <c r="R116" s="24">
        <v>43535</v>
      </c>
      <c r="S116" s="233">
        <v>414.47000100000002</v>
      </c>
      <c r="T116" s="28">
        <f t="shared" si="11"/>
        <v>2.9381048974975954E-2</v>
      </c>
      <c r="V116" s="24">
        <v>43535</v>
      </c>
      <c r="W116" s="25">
        <v>120.06793999999999</v>
      </c>
      <c r="X116" s="28">
        <f t="shared" si="12"/>
        <v>-3.3318853852678521E-3</v>
      </c>
      <c r="Z116" s="24">
        <v>43535</v>
      </c>
      <c r="AA116" s="27">
        <v>2822.48</v>
      </c>
      <c r="AB116" s="28">
        <f t="shared" si="13"/>
        <v>2.894931591246297E-2</v>
      </c>
    </row>
    <row r="117" spans="2:28" x14ac:dyDescent="0.35">
      <c r="B117" s="24">
        <v>43542</v>
      </c>
      <c r="C117" s="25">
        <v>160.22169500000001</v>
      </c>
      <c r="D117" s="28">
        <f t="shared" si="7"/>
        <v>-2.3739763093235999E-2</v>
      </c>
      <c r="F117" s="24">
        <v>43542</v>
      </c>
      <c r="G117" s="25">
        <v>63.318356000000001</v>
      </c>
      <c r="H117" s="28">
        <f t="shared" si="8"/>
        <v>-1.9424721873786077E-2</v>
      </c>
      <c r="J117" s="24">
        <v>43542</v>
      </c>
      <c r="K117" s="233">
        <v>40.377968000000003</v>
      </c>
      <c r="L117" s="28">
        <f t="shared" si="9"/>
        <v>-3.6028838655670525E-2</v>
      </c>
      <c r="N117" s="24">
        <v>43542</v>
      </c>
      <c r="O117" s="25">
        <v>32.591479999999997</v>
      </c>
      <c r="P117" s="28">
        <f t="shared" si="10"/>
        <v>1.6753865941041557E-3</v>
      </c>
      <c r="R117" s="24">
        <v>43542</v>
      </c>
      <c r="S117" s="233">
        <v>391.79998799999998</v>
      </c>
      <c r="T117" s="28">
        <f t="shared" si="11"/>
        <v>-5.4696390439123777E-2</v>
      </c>
      <c r="V117" s="24">
        <v>43542</v>
      </c>
      <c r="W117" s="25">
        <v>119.465836</v>
      </c>
      <c r="X117" s="28">
        <f t="shared" si="12"/>
        <v>-5.0146941806447076E-3</v>
      </c>
      <c r="Z117" s="24">
        <v>43542</v>
      </c>
      <c r="AA117" s="27">
        <v>2800.71</v>
      </c>
      <c r="AB117" s="28">
        <f t="shared" si="13"/>
        <v>-7.7130750262180969E-3</v>
      </c>
    </row>
    <row r="118" spans="2:28" x14ac:dyDescent="0.35">
      <c r="B118" s="24">
        <v>43549</v>
      </c>
      <c r="C118" s="25">
        <v>163.03646900000001</v>
      </c>
      <c r="D118" s="28">
        <f t="shared" si="7"/>
        <v>1.7567995395380231E-2</v>
      </c>
      <c r="F118" s="24">
        <v>43549</v>
      </c>
      <c r="G118" s="25">
        <v>63.977260999999999</v>
      </c>
      <c r="H118" s="28">
        <f t="shared" si="8"/>
        <v>1.0406224065577341E-2</v>
      </c>
      <c r="J118" s="24">
        <v>43549</v>
      </c>
      <c r="K118" s="233">
        <v>40.000686999999999</v>
      </c>
      <c r="L118" s="28">
        <f t="shared" si="9"/>
        <v>-9.3437341869210266E-3</v>
      </c>
      <c r="N118" s="24">
        <v>43549</v>
      </c>
      <c r="O118" s="25">
        <v>33.074314000000001</v>
      </c>
      <c r="P118" s="28">
        <f t="shared" si="10"/>
        <v>1.4814730721035119E-2</v>
      </c>
      <c r="R118" s="24">
        <v>43549</v>
      </c>
      <c r="S118" s="233">
        <v>410.61999500000002</v>
      </c>
      <c r="T118" s="28">
        <f t="shared" si="11"/>
        <v>4.8034730925004654E-2</v>
      </c>
      <c r="V118" s="24">
        <v>43549</v>
      </c>
      <c r="W118" s="25">
        <v>121.978874</v>
      </c>
      <c r="X118" s="28">
        <f t="shared" si="12"/>
        <v>2.1035620593656601E-2</v>
      </c>
      <c r="Z118" s="24">
        <v>43549</v>
      </c>
      <c r="AA118" s="27">
        <v>2834.4</v>
      </c>
      <c r="AB118" s="28">
        <f t="shared" si="13"/>
        <v>1.202909262294205E-2</v>
      </c>
    </row>
    <row r="119" spans="2:28" x14ac:dyDescent="0.35">
      <c r="B119" s="24">
        <v>43556</v>
      </c>
      <c r="C119" s="25">
        <v>167.69641100000001</v>
      </c>
      <c r="D119" s="28">
        <f t="shared" si="7"/>
        <v>2.8582206352862016E-2</v>
      </c>
      <c r="F119" s="24">
        <v>43556</v>
      </c>
      <c r="G119" s="25">
        <v>66.247710999999995</v>
      </c>
      <c r="H119" s="28">
        <f t="shared" si="8"/>
        <v>3.5488390164124084E-2</v>
      </c>
      <c r="J119" s="24">
        <v>43556</v>
      </c>
      <c r="K119" s="233">
        <v>39.103577000000001</v>
      </c>
      <c r="L119" s="28">
        <f t="shared" si="9"/>
        <v>-2.2427364810009287E-2</v>
      </c>
      <c r="N119" s="24">
        <v>43556</v>
      </c>
      <c r="O119" s="25">
        <v>33.479270999999997</v>
      </c>
      <c r="P119" s="28">
        <f t="shared" si="10"/>
        <v>1.2243851830154195E-2</v>
      </c>
      <c r="R119" s="24">
        <v>43556</v>
      </c>
      <c r="S119" s="233">
        <v>408.94000199999999</v>
      </c>
      <c r="T119" s="28">
        <f t="shared" si="11"/>
        <v>-4.0913570222025353E-3</v>
      </c>
      <c r="V119" s="24">
        <v>43556</v>
      </c>
      <c r="W119" s="25">
        <v>118.828857</v>
      </c>
      <c r="X119" s="28">
        <f t="shared" si="12"/>
        <v>-2.58242833099116E-2</v>
      </c>
      <c r="Z119" s="24">
        <v>43556</v>
      </c>
      <c r="AA119" s="27">
        <v>2892.74</v>
      </c>
      <c r="AB119" s="28">
        <f t="shared" si="13"/>
        <v>2.0582839401636965E-2</v>
      </c>
    </row>
    <row r="120" spans="2:28" x14ac:dyDescent="0.35">
      <c r="B120" s="24">
        <v>43563</v>
      </c>
      <c r="C120" s="25">
        <v>164.27226300000001</v>
      </c>
      <c r="D120" s="28">
        <f t="shared" si="7"/>
        <v>-2.0418731561285486E-2</v>
      </c>
      <c r="F120" s="24">
        <v>43563</v>
      </c>
      <c r="G120" s="25">
        <v>64.128105000000005</v>
      </c>
      <c r="H120" s="28">
        <f t="shared" si="8"/>
        <v>-3.199515829309163E-2</v>
      </c>
      <c r="J120" s="24">
        <v>43563</v>
      </c>
      <c r="K120" s="233">
        <v>38.543574999999997</v>
      </c>
      <c r="L120" s="28">
        <f t="shared" si="9"/>
        <v>-1.4320991657617466E-2</v>
      </c>
      <c r="N120" s="24">
        <v>43563</v>
      </c>
      <c r="O120" s="25">
        <v>32.482455999999999</v>
      </c>
      <c r="P120" s="28">
        <f t="shared" si="10"/>
        <v>-2.977409514084095E-2</v>
      </c>
      <c r="R120" s="24">
        <v>43563</v>
      </c>
      <c r="S120" s="233">
        <v>382.94000199999999</v>
      </c>
      <c r="T120" s="28">
        <f t="shared" si="11"/>
        <v>-6.3579008834650508E-2</v>
      </c>
      <c r="V120" s="24">
        <v>43563</v>
      </c>
      <c r="W120" s="25">
        <v>118.65432699999999</v>
      </c>
      <c r="X120" s="28">
        <f t="shared" si="12"/>
        <v>-1.4687509785606956E-3</v>
      </c>
      <c r="Z120" s="24">
        <v>43563</v>
      </c>
      <c r="AA120" s="27">
        <v>2907.41</v>
      </c>
      <c r="AB120" s="28">
        <f t="shared" si="13"/>
        <v>5.0713164681237544E-3</v>
      </c>
    </row>
    <row r="121" spans="2:28" x14ac:dyDescent="0.35">
      <c r="B121" s="24">
        <v>43570</v>
      </c>
      <c r="C121" s="25">
        <v>152.30069</v>
      </c>
      <c r="D121" s="28">
        <f t="shared" si="7"/>
        <v>-7.287641127826916E-2</v>
      </c>
      <c r="F121" s="24">
        <v>43570</v>
      </c>
      <c r="G121" s="25">
        <v>62.39629</v>
      </c>
      <c r="H121" s="28">
        <f t="shared" si="8"/>
        <v>-2.7005553961090945E-2</v>
      </c>
      <c r="J121" s="24">
        <v>43570</v>
      </c>
      <c r="K121" s="233">
        <v>38.501282000000003</v>
      </c>
      <c r="L121" s="28">
        <f t="shared" si="9"/>
        <v>-1.0972775618243169E-3</v>
      </c>
      <c r="N121" s="24">
        <v>43570</v>
      </c>
      <c r="O121" s="25">
        <v>30.667921</v>
      </c>
      <c r="P121" s="28">
        <f t="shared" si="10"/>
        <v>-5.5862001321574928E-2</v>
      </c>
      <c r="R121" s="24">
        <v>43570</v>
      </c>
      <c r="S121" s="233">
        <v>333.33999599999999</v>
      </c>
      <c r="T121" s="28">
        <f t="shared" si="11"/>
        <v>-0.12952422243942019</v>
      </c>
      <c r="V121" s="24">
        <v>43570</v>
      </c>
      <c r="W121" s="25">
        <v>119.998093</v>
      </c>
      <c r="X121" s="28">
        <f t="shared" si="12"/>
        <v>1.1325048432494267E-2</v>
      </c>
      <c r="Z121" s="24">
        <v>43570</v>
      </c>
      <c r="AA121" s="27">
        <v>2905.03</v>
      </c>
      <c r="AB121" s="28">
        <f t="shared" si="13"/>
        <v>-8.1859799615457973E-4</v>
      </c>
    </row>
    <row r="122" spans="2:28" x14ac:dyDescent="0.35">
      <c r="B122" s="24">
        <v>43577</v>
      </c>
      <c r="C122" s="25">
        <v>155.73339799999999</v>
      </c>
      <c r="D122" s="28">
        <f t="shared" si="7"/>
        <v>2.2539018043844727E-2</v>
      </c>
      <c r="F122" s="24">
        <v>43577</v>
      </c>
      <c r="G122" s="25">
        <v>64.109618999999995</v>
      </c>
      <c r="H122" s="28">
        <f t="shared" si="8"/>
        <v>2.7458828080964448E-2</v>
      </c>
      <c r="J122" s="24">
        <v>43577</v>
      </c>
      <c r="K122" s="233">
        <v>38.814231999999997</v>
      </c>
      <c r="L122" s="28">
        <f t="shared" si="9"/>
        <v>8.1283007667118934E-3</v>
      </c>
      <c r="N122" s="24">
        <v>43577</v>
      </c>
      <c r="O122" s="25">
        <v>31.127386000000001</v>
      </c>
      <c r="P122" s="28">
        <f t="shared" si="10"/>
        <v>1.4981941553847244E-2</v>
      </c>
      <c r="R122" s="24">
        <v>43577</v>
      </c>
      <c r="S122" s="233">
        <v>343.66000400000001</v>
      </c>
      <c r="T122" s="28">
        <f t="shared" si="11"/>
        <v>3.0959405183409228E-2</v>
      </c>
      <c r="V122" s="24">
        <v>43577</v>
      </c>
      <c r="W122" s="25">
        <v>122.502449</v>
      </c>
      <c r="X122" s="28">
        <f t="shared" si="12"/>
        <v>2.0869964991860446E-2</v>
      </c>
      <c r="Z122" s="24">
        <v>43577</v>
      </c>
      <c r="AA122" s="27">
        <v>2939.88</v>
      </c>
      <c r="AB122" s="28">
        <f t="shared" si="13"/>
        <v>1.1996433771768178E-2</v>
      </c>
    </row>
    <row r="123" spans="2:28" x14ac:dyDescent="0.35">
      <c r="B123" s="24">
        <v>43584</v>
      </c>
      <c r="C123" s="25">
        <v>152.163376</v>
      </c>
      <c r="D123" s="28">
        <f t="shared" si="7"/>
        <v>-2.2923933118058515E-2</v>
      </c>
      <c r="F123" s="24">
        <v>43584</v>
      </c>
      <c r="G123" s="25">
        <v>63.313305</v>
      </c>
      <c r="H123" s="28">
        <f t="shared" si="8"/>
        <v>-1.2421131374996897E-2</v>
      </c>
      <c r="J123" s="24">
        <v>43584</v>
      </c>
      <c r="K123" s="233">
        <v>41.123294999999999</v>
      </c>
      <c r="L123" s="28">
        <f t="shared" si="9"/>
        <v>5.9490111771373089E-2</v>
      </c>
      <c r="N123" s="24">
        <v>43584</v>
      </c>
      <c r="O123" s="25">
        <v>32.233246000000001</v>
      </c>
      <c r="P123" s="28">
        <f t="shared" si="10"/>
        <v>3.5526915109415302E-2</v>
      </c>
      <c r="R123" s="24">
        <v>43584</v>
      </c>
      <c r="S123" s="233">
        <v>336.89001500000001</v>
      </c>
      <c r="T123" s="28">
        <f t="shared" si="11"/>
        <v>-1.9699670957345372E-2</v>
      </c>
      <c r="V123" s="24">
        <v>43584</v>
      </c>
      <c r="W123" s="25">
        <v>123.91604599999999</v>
      </c>
      <c r="X123" s="28">
        <f t="shared" si="12"/>
        <v>1.153933665440432E-2</v>
      </c>
      <c r="Z123" s="24">
        <v>43584</v>
      </c>
      <c r="AA123" s="27">
        <v>2945.64</v>
      </c>
      <c r="AB123" s="28">
        <f t="shared" si="13"/>
        <v>1.9592636434140331E-3</v>
      </c>
    </row>
    <row r="124" spans="2:28" x14ac:dyDescent="0.35">
      <c r="B124" s="24">
        <v>43591</v>
      </c>
      <c r="C124" s="25">
        <v>147.47773699999999</v>
      </c>
      <c r="D124" s="28">
        <f t="shared" si="7"/>
        <v>-3.079347424573442E-2</v>
      </c>
      <c r="F124" s="24">
        <v>43591</v>
      </c>
      <c r="G124" s="25">
        <v>62.299762999999999</v>
      </c>
      <c r="H124" s="28">
        <f t="shared" si="8"/>
        <v>-1.6008357169160603E-2</v>
      </c>
      <c r="J124" s="24">
        <v>43591</v>
      </c>
      <c r="K124" s="233">
        <v>39.761538999999999</v>
      </c>
      <c r="L124" s="28">
        <f t="shared" si="9"/>
        <v>-3.3113980774157281E-2</v>
      </c>
      <c r="N124" s="24">
        <v>43591</v>
      </c>
      <c r="O124" s="25">
        <v>31.711472000000001</v>
      </c>
      <c r="P124" s="28">
        <f t="shared" si="10"/>
        <v>-1.6187448201772758E-2</v>
      </c>
      <c r="R124" s="24">
        <v>43591</v>
      </c>
      <c r="S124" s="233">
        <v>312.85998499999999</v>
      </c>
      <c r="T124" s="28">
        <f t="shared" si="11"/>
        <v>-7.1329006293047947E-2</v>
      </c>
      <c r="V124" s="24">
        <v>43591</v>
      </c>
      <c r="W124" s="25">
        <v>121.33317599999999</v>
      </c>
      <c r="X124" s="28">
        <f t="shared" si="12"/>
        <v>-2.0843708973735331E-2</v>
      </c>
      <c r="Z124" s="24">
        <v>43591</v>
      </c>
      <c r="AA124" s="27">
        <v>2881.4</v>
      </c>
      <c r="AB124" s="28">
        <f t="shared" si="13"/>
        <v>-2.1808503415217007E-2</v>
      </c>
    </row>
    <row r="125" spans="2:28" x14ac:dyDescent="0.35">
      <c r="B125" s="24">
        <v>43598</v>
      </c>
      <c r="C125" s="25">
        <v>145.81286600000001</v>
      </c>
      <c r="D125" s="28">
        <f t="shared" si="7"/>
        <v>-1.1288964923566569E-2</v>
      </c>
      <c r="F125" s="24">
        <v>43598</v>
      </c>
      <c r="G125" s="25">
        <v>63.916595000000001</v>
      </c>
      <c r="H125" s="28">
        <f t="shared" si="8"/>
        <v>2.5952458278212021E-2</v>
      </c>
      <c r="J125" s="24">
        <v>43598</v>
      </c>
      <c r="K125" s="233">
        <v>39.626209000000003</v>
      </c>
      <c r="L125" s="28">
        <f t="shared" si="9"/>
        <v>-3.4035402905303602E-3</v>
      </c>
      <c r="N125" s="24">
        <v>43598</v>
      </c>
      <c r="O125" s="25">
        <v>32.581982000000004</v>
      </c>
      <c r="P125" s="28">
        <f t="shared" si="10"/>
        <v>2.7450948981491807E-2</v>
      </c>
      <c r="R125" s="24">
        <v>43598</v>
      </c>
      <c r="S125" s="233">
        <v>304.94000199999999</v>
      </c>
      <c r="T125" s="28">
        <f t="shared" si="11"/>
        <v>-2.531478418373001E-2</v>
      </c>
      <c r="V125" s="24">
        <v>43598</v>
      </c>
      <c r="W125" s="25">
        <v>120.949219</v>
      </c>
      <c r="X125" s="28">
        <f t="shared" si="12"/>
        <v>-3.164484872628659E-3</v>
      </c>
      <c r="Z125" s="24">
        <v>43598</v>
      </c>
      <c r="AA125" s="27">
        <v>2859.53</v>
      </c>
      <c r="AB125" s="28">
        <f t="shared" si="13"/>
        <v>-7.5900603873116923E-3</v>
      </c>
    </row>
    <row r="126" spans="2:28" x14ac:dyDescent="0.35">
      <c r="B126" s="24">
        <v>43605</v>
      </c>
      <c r="C126" s="25">
        <v>148.254074</v>
      </c>
      <c r="D126" s="28">
        <f t="shared" si="7"/>
        <v>1.6742061705309341E-2</v>
      </c>
      <c r="F126" s="24">
        <v>43605</v>
      </c>
      <c r="G126" s="25">
        <v>64.399208000000002</v>
      </c>
      <c r="H126" s="28">
        <f t="shared" si="8"/>
        <v>7.5506681793671149E-3</v>
      </c>
      <c r="J126" s="24">
        <v>43605</v>
      </c>
      <c r="K126" s="233">
        <v>39.592373000000002</v>
      </c>
      <c r="L126" s="28">
        <f t="shared" si="9"/>
        <v>-8.5387931002944839E-4</v>
      </c>
      <c r="N126" s="24">
        <v>43605</v>
      </c>
      <c r="O126" s="25">
        <v>32.959105999999998</v>
      </c>
      <c r="P126" s="28">
        <f t="shared" si="10"/>
        <v>1.1574618143242343E-2</v>
      </c>
      <c r="R126" s="24">
        <v>43605</v>
      </c>
      <c r="S126" s="233">
        <v>312.55999800000001</v>
      </c>
      <c r="T126" s="28">
        <f t="shared" si="11"/>
        <v>2.4988509051036223E-2</v>
      </c>
      <c r="V126" s="24">
        <v>43605</v>
      </c>
      <c r="W126" s="25">
        <v>121.158676</v>
      </c>
      <c r="X126" s="28">
        <f t="shared" si="12"/>
        <v>1.7317763746784731E-3</v>
      </c>
      <c r="Z126" s="24">
        <v>43605</v>
      </c>
      <c r="AA126" s="27">
        <v>2826.06</v>
      </c>
      <c r="AB126" s="28">
        <f t="shared" si="13"/>
        <v>-1.170472070585038E-2</v>
      </c>
    </row>
    <row r="127" spans="2:28" x14ac:dyDescent="0.35">
      <c r="B127" s="24">
        <v>43612</v>
      </c>
      <c r="C127" s="25">
        <v>144.28978000000001</v>
      </c>
      <c r="D127" s="28">
        <f t="shared" si="7"/>
        <v>-2.6739865509530558E-2</v>
      </c>
      <c r="F127" s="24">
        <v>43612</v>
      </c>
      <c r="G127" s="25">
        <v>61.704514000000003</v>
      </c>
      <c r="H127" s="28">
        <f t="shared" si="8"/>
        <v>-4.1843589132338321E-2</v>
      </c>
      <c r="J127" s="24">
        <v>43612</v>
      </c>
      <c r="K127" s="233">
        <v>38.374409</v>
      </c>
      <c r="L127" s="28">
        <f t="shared" si="9"/>
        <v>-3.0762591572876974E-2</v>
      </c>
      <c r="N127" s="24">
        <v>43612</v>
      </c>
      <c r="O127" s="25">
        <v>32.621262000000002</v>
      </c>
      <c r="P127" s="28">
        <f t="shared" si="10"/>
        <v>-1.0250399388866849E-2</v>
      </c>
      <c r="R127" s="24">
        <v>43612</v>
      </c>
      <c r="S127" s="233">
        <v>301.72000100000002</v>
      </c>
      <c r="T127" s="28">
        <f t="shared" si="11"/>
        <v>-3.4681331806253657E-2</v>
      </c>
      <c r="V127" s="24">
        <v>43612</v>
      </c>
      <c r="W127" s="25">
        <v>115.22277800000001</v>
      </c>
      <c r="X127" s="28">
        <f t="shared" si="12"/>
        <v>-4.8992760534953272E-2</v>
      </c>
      <c r="Z127" s="24">
        <v>43612</v>
      </c>
      <c r="AA127" s="27">
        <v>2752.06</v>
      </c>
      <c r="AB127" s="28">
        <f t="shared" si="13"/>
        <v>-2.6184865147944492E-2</v>
      </c>
    </row>
    <row r="128" spans="2:28" x14ac:dyDescent="0.35">
      <c r="B128" s="24">
        <v>43619</v>
      </c>
      <c r="C128" s="25">
        <v>151.91540499999999</v>
      </c>
      <c r="D128" s="28">
        <f t="shared" si="7"/>
        <v>5.2849377135372855E-2</v>
      </c>
      <c r="F128" s="24">
        <v>43619</v>
      </c>
      <c r="G128" s="25">
        <v>62.283669000000003</v>
      </c>
      <c r="H128" s="28">
        <f t="shared" si="8"/>
        <v>9.3859421694821865E-3</v>
      </c>
      <c r="J128" s="24">
        <v>43619</v>
      </c>
      <c r="K128" s="233">
        <v>39.541626000000001</v>
      </c>
      <c r="L128" s="28">
        <f t="shared" si="9"/>
        <v>3.0416546610528838E-2</v>
      </c>
      <c r="N128" s="24">
        <v>43619</v>
      </c>
      <c r="O128" s="25">
        <v>33.721207</v>
      </c>
      <c r="P128" s="28">
        <f t="shared" si="10"/>
        <v>3.3718652576960384E-2</v>
      </c>
      <c r="R128" s="24">
        <v>43619</v>
      </c>
      <c r="S128" s="233">
        <v>306.72000100000002</v>
      </c>
      <c r="T128" s="28">
        <f t="shared" si="11"/>
        <v>1.6571655784927586E-2</v>
      </c>
      <c r="V128" s="24">
        <v>43619</v>
      </c>
      <c r="W128" s="25">
        <v>121.724121</v>
      </c>
      <c r="X128" s="28">
        <f t="shared" si="12"/>
        <v>5.6424112600374832E-2</v>
      </c>
      <c r="Z128" s="24">
        <v>43619</v>
      </c>
      <c r="AA128" s="27">
        <v>2873.34</v>
      </c>
      <c r="AB128" s="28">
        <f t="shared" si="13"/>
        <v>4.4068806639390168E-2</v>
      </c>
    </row>
    <row r="129" spans="2:28" x14ac:dyDescent="0.35">
      <c r="B129" s="24">
        <v>43626</v>
      </c>
      <c r="C129" s="25">
        <v>152.40879799999999</v>
      </c>
      <c r="D129" s="28">
        <f t="shared" si="7"/>
        <v>3.247814137085081E-3</v>
      </c>
      <c r="F129" s="24">
        <v>43626</v>
      </c>
      <c r="G129" s="25">
        <v>63.297210999999997</v>
      </c>
      <c r="H129" s="28">
        <f t="shared" si="8"/>
        <v>1.6272997661714417E-2</v>
      </c>
      <c r="J129" s="24">
        <v>43626</v>
      </c>
      <c r="K129" s="233">
        <v>40.226734</v>
      </c>
      <c r="L129" s="28">
        <f t="shared" si="9"/>
        <v>1.7326247534686701E-2</v>
      </c>
      <c r="N129" s="24">
        <v>43626</v>
      </c>
      <c r="O129" s="25">
        <v>33.595505000000003</v>
      </c>
      <c r="P129" s="28">
        <f t="shared" si="10"/>
        <v>-3.7276838874716889E-3</v>
      </c>
      <c r="R129" s="24">
        <v>43626</v>
      </c>
      <c r="S129" s="233">
        <v>305.23998999999998</v>
      </c>
      <c r="T129" s="28">
        <f t="shared" si="11"/>
        <v>-4.8252836305906488E-3</v>
      </c>
      <c r="V129" s="24">
        <v>43626</v>
      </c>
      <c r="W129" s="25">
        <v>123.07708</v>
      </c>
      <c r="X129" s="28">
        <f t="shared" si="12"/>
        <v>1.1114962169248344E-2</v>
      </c>
      <c r="Z129" s="24">
        <v>43626</v>
      </c>
      <c r="AA129" s="27">
        <v>2886.98</v>
      </c>
      <c r="AB129" s="28">
        <f t="shared" si="13"/>
        <v>4.7470887538543227E-3</v>
      </c>
    </row>
    <row r="130" spans="2:28" x14ac:dyDescent="0.35">
      <c r="B130" s="24">
        <v>43633</v>
      </c>
      <c r="C130" s="25">
        <v>161.95597799999999</v>
      </c>
      <c r="D130" s="28">
        <f t="shared" si="7"/>
        <v>6.2641921760973496E-2</v>
      </c>
      <c r="F130" s="24">
        <v>43633</v>
      </c>
      <c r="G130" s="25">
        <v>63.369587000000003</v>
      </c>
      <c r="H130" s="28">
        <f t="shared" si="8"/>
        <v>1.1434311063089897E-3</v>
      </c>
      <c r="J130" s="24">
        <v>43633</v>
      </c>
      <c r="K130" s="233">
        <v>41.732281</v>
      </c>
      <c r="L130" s="28">
        <f t="shared" si="9"/>
        <v>3.7426528338094789E-2</v>
      </c>
      <c r="N130" s="24">
        <v>43633</v>
      </c>
      <c r="O130" s="25">
        <v>34.310462999999999</v>
      </c>
      <c r="P130" s="28">
        <f t="shared" si="10"/>
        <v>2.1281358919891025E-2</v>
      </c>
      <c r="R130" s="24">
        <v>43633</v>
      </c>
      <c r="S130" s="233">
        <v>320.26001000000002</v>
      </c>
      <c r="T130" s="28">
        <f t="shared" si="11"/>
        <v>4.9207248368734469E-2</v>
      </c>
      <c r="V130" s="24">
        <v>43633</v>
      </c>
      <c r="W130" s="25">
        <v>124.834183</v>
      </c>
      <c r="X130" s="28">
        <f t="shared" si="12"/>
        <v>1.4276443672534223E-2</v>
      </c>
      <c r="Z130" s="24">
        <v>43633</v>
      </c>
      <c r="AA130" s="27">
        <v>2950.46</v>
      </c>
      <c r="AB130" s="28">
        <f t="shared" si="13"/>
        <v>2.1988375395742166E-2</v>
      </c>
    </row>
    <row r="131" spans="2:28" x14ac:dyDescent="0.35">
      <c r="B131" s="24">
        <v>43640</v>
      </c>
      <c r="C131" s="25">
        <v>159.506393</v>
      </c>
      <c r="D131" s="28">
        <f t="shared" si="7"/>
        <v>-1.512500514182924E-2</v>
      </c>
      <c r="F131" s="24">
        <v>43640</v>
      </c>
      <c r="G131" s="25">
        <v>58.495010000000001</v>
      </c>
      <c r="H131" s="28">
        <f t="shared" si="8"/>
        <v>-7.6922972529393396E-2</v>
      </c>
      <c r="J131" s="24">
        <v>43640</v>
      </c>
      <c r="K131" s="233">
        <v>38.357494000000003</v>
      </c>
      <c r="L131" s="28">
        <f t="shared" si="9"/>
        <v>-8.086754232293214E-2</v>
      </c>
      <c r="N131" s="24">
        <v>43640</v>
      </c>
      <c r="O131" s="25">
        <v>34.035483999999997</v>
      </c>
      <c r="P131" s="28">
        <f t="shared" si="10"/>
        <v>-8.0144357130943478E-3</v>
      </c>
      <c r="R131" s="24">
        <v>43640</v>
      </c>
      <c r="S131" s="233">
        <v>313</v>
      </c>
      <c r="T131" s="28">
        <f t="shared" si="11"/>
        <v>-2.2669111888181215E-2</v>
      </c>
      <c r="V131" s="24">
        <v>43640</v>
      </c>
      <c r="W131" s="25">
        <v>122.36545599999999</v>
      </c>
      <c r="X131" s="28">
        <f t="shared" si="12"/>
        <v>-1.9776049641787585E-2</v>
      </c>
      <c r="Z131" s="24">
        <v>43640</v>
      </c>
      <c r="AA131" s="27">
        <v>2941.76</v>
      </c>
      <c r="AB131" s="28">
        <f t="shared" si="13"/>
        <v>-2.9486927462157864E-3</v>
      </c>
    </row>
    <row r="132" spans="2:28" x14ac:dyDescent="0.35">
      <c r="B132" s="24">
        <v>43647</v>
      </c>
      <c r="C132" s="25">
        <v>160.94326799999999</v>
      </c>
      <c r="D132" s="28">
        <f t="shared" si="7"/>
        <v>9.0082596250544711E-3</v>
      </c>
      <c r="F132" s="24">
        <v>43647</v>
      </c>
      <c r="G132" s="25">
        <v>58.712195999999999</v>
      </c>
      <c r="H132" s="28">
        <f t="shared" si="8"/>
        <v>3.7128979035989662E-3</v>
      </c>
      <c r="J132" s="24">
        <v>43647</v>
      </c>
      <c r="K132" s="233">
        <v>38.814231999999997</v>
      </c>
      <c r="L132" s="28">
        <f t="shared" si="9"/>
        <v>1.1907399372857785E-2</v>
      </c>
      <c r="N132" s="24">
        <v>43647</v>
      </c>
      <c r="O132" s="25">
        <v>34.506889000000001</v>
      </c>
      <c r="P132" s="28">
        <f t="shared" si="10"/>
        <v>1.3850398014025656E-2</v>
      </c>
      <c r="R132" s="24">
        <v>43647</v>
      </c>
      <c r="S132" s="233">
        <v>307</v>
      </c>
      <c r="T132" s="28">
        <f t="shared" si="11"/>
        <v>-1.9169329073482455E-2</v>
      </c>
      <c r="V132" s="24">
        <v>43647</v>
      </c>
      <c r="W132" s="25">
        <v>123.498802</v>
      </c>
      <c r="X132" s="28">
        <f t="shared" si="12"/>
        <v>9.2619766807391368E-3</v>
      </c>
      <c r="Z132" s="24">
        <v>43647</v>
      </c>
      <c r="AA132" s="27">
        <v>2990.41</v>
      </c>
      <c r="AB132" s="28">
        <f t="shared" si="13"/>
        <v>1.6537718916566746E-2</v>
      </c>
    </row>
    <row r="133" spans="2:28" x14ac:dyDescent="0.35">
      <c r="B133" s="24">
        <v>43654</v>
      </c>
      <c r="C133" s="25">
        <v>151.41336100000001</v>
      </c>
      <c r="D133" s="28">
        <f t="shared" si="7"/>
        <v>-5.9212833928536712E-2</v>
      </c>
      <c r="F133" s="24">
        <v>43654</v>
      </c>
      <c r="G133" s="25">
        <v>56.532310000000003</v>
      </c>
      <c r="H133" s="28">
        <f t="shared" si="8"/>
        <v>-3.7128333608914876E-2</v>
      </c>
      <c r="J133" s="24">
        <v>43654</v>
      </c>
      <c r="K133" s="233">
        <v>37.775818000000001</v>
      </c>
      <c r="L133" s="28">
        <f t="shared" si="9"/>
        <v>-2.6753434152709699E-2</v>
      </c>
      <c r="N133" s="24">
        <v>43654</v>
      </c>
      <c r="O133" s="25">
        <v>33.312655999999997</v>
      </c>
      <c r="P133" s="28">
        <f t="shared" si="10"/>
        <v>-3.4608538602248551E-2</v>
      </c>
      <c r="R133" s="24">
        <v>43654</v>
      </c>
      <c r="S133" s="233">
        <v>292.55999800000001</v>
      </c>
      <c r="T133" s="28">
        <f t="shared" si="11"/>
        <v>-4.7035837133550418E-2</v>
      </c>
      <c r="V133" s="24">
        <v>43654</v>
      </c>
      <c r="W133" s="25">
        <v>117.99024199999999</v>
      </c>
      <c r="X133" s="28">
        <f t="shared" si="12"/>
        <v>-4.4604157374741216E-2</v>
      </c>
      <c r="Z133" s="24">
        <v>43654</v>
      </c>
      <c r="AA133" s="27">
        <v>3013.77</v>
      </c>
      <c r="AB133" s="28">
        <f t="shared" si="13"/>
        <v>7.8116378690546995E-3</v>
      </c>
    </row>
    <row r="134" spans="2:28" x14ac:dyDescent="0.35">
      <c r="B134" s="24">
        <v>43661</v>
      </c>
      <c r="C134" s="25">
        <v>154.40823399999999</v>
      </c>
      <c r="D134" s="28">
        <f t="shared" si="7"/>
        <v>1.9779449978657881E-2</v>
      </c>
      <c r="F134" s="24">
        <v>43661</v>
      </c>
      <c r="G134" s="25">
        <v>55.973388999999997</v>
      </c>
      <c r="H134" s="28">
        <f t="shared" si="8"/>
        <v>-9.8867532566775385E-3</v>
      </c>
      <c r="J134" s="24">
        <v>43661</v>
      </c>
      <c r="K134" s="233">
        <v>36.973705000000002</v>
      </c>
      <c r="L134" s="28">
        <f t="shared" si="9"/>
        <v>-2.1233504460446029E-2</v>
      </c>
      <c r="N134" s="24">
        <v>43661</v>
      </c>
      <c r="O134" s="25">
        <v>33.603358999999998</v>
      </c>
      <c r="P134" s="28">
        <f t="shared" si="10"/>
        <v>8.7265032244803198E-3</v>
      </c>
      <c r="R134" s="24">
        <v>43661</v>
      </c>
      <c r="S134" s="233">
        <v>298.10998499999999</v>
      </c>
      <c r="T134" s="28">
        <f t="shared" si="11"/>
        <v>1.8970423290746607E-2</v>
      </c>
      <c r="V134" s="24">
        <v>43661</v>
      </c>
      <c r="W134" s="25">
        <v>114.48477200000001</v>
      </c>
      <c r="X134" s="28">
        <f t="shared" si="12"/>
        <v>-2.9709829733207793E-2</v>
      </c>
      <c r="Z134" s="24">
        <v>43661</v>
      </c>
      <c r="AA134" s="27">
        <v>2976.61</v>
      </c>
      <c r="AB134" s="28">
        <f t="shared" si="13"/>
        <v>-1.2330071637848938E-2</v>
      </c>
    </row>
    <row r="135" spans="2:28" x14ac:dyDescent="0.35">
      <c r="B135" s="24">
        <v>43668</v>
      </c>
      <c r="C135" s="25">
        <v>151.76829499999999</v>
      </c>
      <c r="D135" s="28">
        <f t="shared" si="7"/>
        <v>-1.7097138744556872E-2</v>
      </c>
      <c r="F135" s="24">
        <v>43668</v>
      </c>
      <c r="G135" s="25">
        <v>55.336402999999997</v>
      </c>
      <c r="H135" s="28">
        <f t="shared" si="8"/>
        <v>-1.1380157810348068E-2</v>
      </c>
      <c r="J135" s="24">
        <v>43668</v>
      </c>
      <c r="K135" s="233">
        <v>38.714443000000003</v>
      </c>
      <c r="L135" s="28">
        <f t="shared" si="9"/>
        <v>4.7080431890718089E-2</v>
      </c>
      <c r="N135" s="24">
        <v>43668</v>
      </c>
      <c r="O135" s="25">
        <v>33.854778000000003</v>
      </c>
      <c r="P135" s="28">
        <f t="shared" si="10"/>
        <v>7.4819603599749485E-3</v>
      </c>
      <c r="R135" s="24">
        <v>43668</v>
      </c>
      <c r="S135" s="233">
        <v>309.17999300000002</v>
      </c>
      <c r="T135" s="28">
        <f t="shared" si="11"/>
        <v>3.7133972550433159E-2</v>
      </c>
      <c r="V135" s="24">
        <v>43668</v>
      </c>
      <c r="W135" s="25">
        <v>114.85375999999999</v>
      </c>
      <c r="X135" s="28">
        <f t="shared" si="12"/>
        <v>3.2230312691716723E-3</v>
      </c>
      <c r="Z135" s="24">
        <v>43668</v>
      </c>
      <c r="AA135" s="27">
        <v>3025.86</v>
      </c>
      <c r="AB135" s="28">
        <f t="shared" si="13"/>
        <v>1.6545667722677848E-2</v>
      </c>
    </row>
    <row r="136" spans="2:28" x14ac:dyDescent="0.35">
      <c r="B136" s="24">
        <v>43675</v>
      </c>
      <c r="C136" s="25">
        <v>162.05122399999999</v>
      </c>
      <c r="D136" s="28">
        <f t="shared" si="7"/>
        <v>6.7754131388245487E-2</v>
      </c>
      <c r="F136" s="24">
        <v>43675</v>
      </c>
      <c r="G136" s="25">
        <v>53.368259000000002</v>
      </c>
      <c r="H136" s="28">
        <f t="shared" si="8"/>
        <v>-3.5566894364275847E-2</v>
      </c>
      <c r="J136" s="24">
        <v>43675</v>
      </c>
      <c r="K136" s="233">
        <v>39.243499999999997</v>
      </c>
      <c r="L136" s="28">
        <f t="shared" si="9"/>
        <v>1.3665623447042696E-2</v>
      </c>
      <c r="N136" s="24">
        <v>43675</v>
      </c>
      <c r="O136" s="25">
        <v>29.85568</v>
      </c>
      <c r="P136" s="28">
        <f t="shared" si="10"/>
        <v>-0.11812506937720879</v>
      </c>
      <c r="R136" s="24">
        <v>43675</v>
      </c>
      <c r="S136" s="233">
        <v>305.23998999999998</v>
      </c>
      <c r="T136" s="28">
        <f t="shared" si="11"/>
        <v>-1.2743395721598438E-2</v>
      </c>
      <c r="V136" s="24">
        <v>43675</v>
      </c>
      <c r="W136" s="25">
        <v>115.15250399999999</v>
      </c>
      <c r="X136" s="28">
        <f t="shared" si="12"/>
        <v>2.6010815840944446E-3</v>
      </c>
      <c r="Z136" s="24">
        <v>43675</v>
      </c>
      <c r="AA136" s="27">
        <v>2932.05</v>
      </c>
      <c r="AB136" s="28">
        <f t="shared" si="13"/>
        <v>-3.1002756241200857E-2</v>
      </c>
    </row>
    <row r="137" spans="2:28" x14ac:dyDescent="0.35">
      <c r="B137" s="24">
        <v>43682</v>
      </c>
      <c r="C137" s="25">
        <v>169.86721800000001</v>
      </c>
      <c r="D137" s="28">
        <f t="shared" si="7"/>
        <v>4.8231625822215518E-2</v>
      </c>
      <c r="F137" s="24">
        <v>43682</v>
      </c>
      <c r="G137" s="25">
        <v>53.556080000000001</v>
      </c>
      <c r="H137" s="28">
        <f t="shared" si="8"/>
        <v>3.5193390888017539E-3</v>
      </c>
      <c r="J137" s="24">
        <v>43682</v>
      </c>
      <c r="K137" s="233">
        <v>40.378399000000002</v>
      </c>
      <c r="L137" s="28">
        <f t="shared" si="9"/>
        <v>2.8919413406041983E-2</v>
      </c>
      <c r="N137" s="24">
        <v>43682</v>
      </c>
      <c r="O137" s="25">
        <v>28.826509000000001</v>
      </c>
      <c r="P137" s="28">
        <f t="shared" si="10"/>
        <v>-3.4471531045348724E-2</v>
      </c>
      <c r="R137" s="24">
        <v>43682</v>
      </c>
      <c r="S137" s="233">
        <v>304.89001500000001</v>
      </c>
      <c r="T137" s="28">
        <f t="shared" si="11"/>
        <v>-1.146556845320168E-3</v>
      </c>
      <c r="V137" s="24">
        <v>43682</v>
      </c>
      <c r="W137" s="25">
        <v>116.004677</v>
      </c>
      <c r="X137" s="28">
        <f t="shared" si="12"/>
        <v>7.4003861869995635E-3</v>
      </c>
      <c r="Z137" s="24">
        <v>43682</v>
      </c>
      <c r="AA137" s="27">
        <v>2918.65</v>
      </c>
      <c r="AB137" s="28">
        <f t="shared" si="13"/>
        <v>-4.5701812724885382E-3</v>
      </c>
    </row>
    <row r="138" spans="2:28" x14ac:dyDescent="0.35">
      <c r="B138" s="24">
        <v>43689</v>
      </c>
      <c r="C138" s="25">
        <v>176.59271200000001</v>
      </c>
      <c r="D138" s="28">
        <f t="shared" si="7"/>
        <v>3.9592654069368516E-2</v>
      </c>
      <c r="F138" s="24">
        <v>43689</v>
      </c>
      <c r="G138" s="25">
        <v>52.616936000000003</v>
      </c>
      <c r="H138" s="28">
        <f t="shared" si="8"/>
        <v>-1.7535712098420975E-2</v>
      </c>
      <c r="J138" s="24">
        <v>43689</v>
      </c>
      <c r="K138" s="233">
        <v>40.088272000000003</v>
      </c>
      <c r="L138" s="28">
        <f t="shared" si="9"/>
        <v>-7.1852031577576136E-3</v>
      </c>
      <c r="N138" s="24">
        <v>43689</v>
      </c>
      <c r="O138" s="25">
        <v>27.478366999999999</v>
      </c>
      <c r="P138" s="28">
        <f t="shared" si="10"/>
        <v>-4.6767438956968443E-2</v>
      </c>
      <c r="R138" s="24">
        <v>43689</v>
      </c>
      <c r="S138" s="233">
        <v>296.85000600000001</v>
      </c>
      <c r="T138" s="28">
        <f t="shared" si="11"/>
        <v>-2.6370194510961564E-2</v>
      </c>
      <c r="V138" s="24">
        <v>43689</v>
      </c>
      <c r="W138" s="25">
        <v>115.407265</v>
      </c>
      <c r="X138" s="28">
        <f t="shared" si="12"/>
        <v>-5.1498958098042946E-3</v>
      </c>
      <c r="Z138" s="24">
        <v>43689</v>
      </c>
      <c r="AA138" s="27">
        <v>2888.68</v>
      </c>
      <c r="AB138" s="28">
        <f t="shared" si="13"/>
        <v>-1.0268446028129485E-2</v>
      </c>
    </row>
    <row r="139" spans="2:28" x14ac:dyDescent="0.35">
      <c r="B139" s="24">
        <v>43696</v>
      </c>
      <c r="C139" s="25">
        <v>173.53755200000001</v>
      </c>
      <c r="D139" s="28">
        <f t="shared" si="7"/>
        <v>-1.7300600717882419E-2</v>
      </c>
      <c r="F139" s="24">
        <v>43696</v>
      </c>
      <c r="G139" s="25">
        <v>53.874583999999999</v>
      </c>
      <c r="H139" s="28">
        <f t="shared" si="8"/>
        <v>2.3901961908234126E-2</v>
      </c>
      <c r="J139" s="24">
        <v>43696</v>
      </c>
      <c r="K139" s="233">
        <v>39.746948000000003</v>
      </c>
      <c r="L139" s="28">
        <f t="shared" si="9"/>
        <v>-8.5143106193252827E-3</v>
      </c>
      <c r="N139" s="24">
        <v>43696</v>
      </c>
      <c r="O139" s="25">
        <v>27.232531000000002</v>
      </c>
      <c r="P139" s="28">
        <f t="shared" si="10"/>
        <v>-8.9465287365875223E-3</v>
      </c>
      <c r="R139" s="24">
        <v>43696</v>
      </c>
      <c r="S139" s="233">
        <v>286.85000600000001</v>
      </c>
      <c r="T139" s="28">
        <f t="shared" si="11"/>
        <v>-3.3687046649411245E-2</v>
      </c>
      <c r="V139" s="24">
        <v>43696</v>
      </c>
      <c r="W139" s="25">
        <v>112.218109</v>
      </c>
      <c r="X139" s="28">
        <f t="shared" si="12"/>
        <v>-2.7633927552134563E-2</v>
      </c>
      <c r="Z139" s="24">
        <v>43696</v>
      </c>
      <c r="AA139" s="27">
        <v>2847.11</v>
      </c>
      <c r="AB139" s="28">
        <f t="shared" si="13"/>
        <v>-1.4390655939737096E-2</v>
      </c>
    </row>
    <row r="140" spans="2:28" x14ac:dyDescent="0.35">
      <c r="B140" s="24">
        <v>43703</v>
      </c>
      <c r="C140" s="25">
        <v>181.85356100000001</v>
      </c>
      <c r="D140" s="28">
        <f t="shared" si="7"/>
        <v>4.7920515785540241E-2</v>
      </c>
      <c r="F140" s="24">
        <v>43703</v>
      </c>
      <c r="G140" s="25">
        <v>53.686748999999999</v>
      </c>
      <c r="H140" s="28">
        <f t="shared" si="8"/>
        <v>-3.4865234411832757E-3</v>
      </c>
      <c r="J140" s="24">
        <v>43703</v>
      </c>
      <c r="K140" s="233">
        <v>41.018368000000002</v>
      </c>
      <c r="L140" s="28">
        <f t="shared" si="9"/>
        <v>3.1987864829269297E-2</v>
      </c>
      <c r="N140" s="24">
        <v>43703</v>
      </c>
      <c r="O140" s="25">
        <v>28.192087000000001</v>
      </c>
      <c r="P140" s="28">
        <f t="shared" si="10"/>
        <v>3.5235652536299344E-2</v>
      </c>
      <c r="R140" s="24">
        <v>43703</v>
      </c>
      <c r="S140" s="233">
        <v>290.04998799999998</v>
      </c>
      <c r="T140" s="28">
        <f t="shared" si="11"/>
        <v>1.1155593282434761E-2</v>
      </c>
      <c r="V140" s="24">
        <v>43703</v>
      </c>
      <c r="W140" s="25">
        <v>112.771591</v>
      </c>
      <c r="X140" s="28">
        <f t="shared" si="12"/>
        <v>4.9321985990693484E-3</v>
      </c>
      <c r="Z140" s="24">
        <v>43703</v>
      </c>
      <c r="AA140" s="27">
        <v>2926.46</v>
      </c>
      <c r="AB140" s="28">
        <f t="shared" si="13"/>
        <v>2.7870366792993595E-2</v>
      </c>
    </row>
    <row r="141" spans="2:28" x14ac:dyDescent="0.35">
      <c r="B141" s="24">
        <v>43710</v>
      </c>
      <c r="C141" s="25">
        <v>181.07777400000001</v>
      </c>
      <c r="D141" s="28">
        <f t="shared" si="7"/>
        <v>-4.2659983985686711E-3</v>
      </c>
      <c r="F141" s="24">
        <v>43710</v>
      </c>
      <c r="G141" s="25">
        <v>55.222065000000001</v>
      </c>
      <c r="H141" s="28">
        <f t="shared" si="8"/>
        <v>2.8597671280114145E-2</v>
      </c>
      <c r="J141" s="24">
        <v>43710</v>
      </c>
      <c r="K141" s="233">
        <v>41.189030000000002</v>
      </c>
      <c r="L141" s="28">
        <f t="shared" si="9"/>
        <v>4.1606238453952837E-3</v>
      </c>
      <c r="N141" s="24">
        <v>43710</v>
      </c>
      <c r="O141" s="25">
        <v>28.945459</v>
      </c>
      <c r="P141" s="28">
        <f t="shared" si="10"/>
        <v>2.6722817647377495E-2</v>
      </c>
      <c r="R141" s="24">
        <v>43710</v>
      </c>
      <c r="S141" s="233">
        <v>292</v>
      </c>
      <c r="T141" s="28">
        <f t="shared" si="11"/>
        <v>6.7230204470825061E-3</v>
      </c>
      <c r="V141" s="24">
        <v>43710</v>
      </c>
      <c r="W141" s="25">
        <v>113.483856</v>
      </c>
      <c r="X141" s="28">
        <f t="shared" si="12"/>
        <v>6.3159967300630004E-3</v>
      </c>
      <c r="Z141" s="24">
        <v>43710</v>
      </c>
      <c r="AA141" s="27">
        <v>2978.71</v>
      </c>
      <c r="AB141" s="28">
        <f t="shared" si="13"/>
        <v>1.7854335955386436E-2</v>
      </c>
    </row>
    <row r="142" spans="2:28" x14ac:dyDescent="0.35">
      <c r="B142" s="24">
        <v>43717</v>
      </c>
      <c r="C142" s="25">
        <v>170.390747</v>
      </c>
      <c r="D142" s="28">
        <f t="shared" si="7"/>
        <v>-5.9018988161407382E-2</v>
      </c>
      <c r="F142" s="24">
        <v>43717</v>
      </c>
      <c r="G142" s="25">
        <v>57.582191000000002</v>
      </c>
      <c r="H142" s="28">
        <f t="shared" si="8"/>
        <v>4.2738821882158939E-2</v>
      </c>
      <c r="J142" s="24">
        <v>43717</v>
      </c>
      <c r="K142" s="233">
        <v>42.178863999999997</v>
      </c>
      <c r="L142" s="28">
        <f t="shared" si="9"/>
        <v>2.4031495764770261E-2</v>
      </c>
      <c r="N142" s="24">
        <v>43717</v>
      </c>
      <c r="O142" s="25">
        <v>29.270603000000001</v>
      </c>
      <c r="P142" s="28">
        <f t="shared" si="10"/>
        <v>1.1232988221054008E-2</v>
      </c>
      <c r="R142" s="24">
        <v>43717</v>
      </c>
      <c r="S142" s="233">
        <v>281.61999500000002</v>
      </c>
      <c r="T142" s="28">
        <f t="shared" si="11"/>
        <v>-3.5547962328767113E-2</v>
      </c>
      <c r="V142" s="24">
        <v>43717</v>
      </c>
      <c r="W142" s="25">
        <v>115.758667</v>
      </c>
      <c r="X142" s="28">
        <f t="shared" si="12"/>
        <v>2.0045238857586911E-2</v>
      </c>
      <c r="Z142" s="24">
        <v>43717</v>
      </c>
      <c r="AA142" s="27">
        <v>3007.39</v>
      </c>
      <c r="AB142" s="28">
        <f t="shared" si="13"/>
        <v>9.6283290417662482E-3</v>
      </c>
    </row>
    <row r="143" spans="2:28" x14ac:dyDescent="0.35">
      <c r="B143" s="24">
        <v>43724</v>
      </c>
      <c r="C143" s="25">
        <v>171.672134</v>
      </c>
      <c r="D143" s="28">
        <f t="shared" si="7"/>
        <v>7.5202851244029478E-3</v>
      </c>
      <c r="F143" s="24">
        <v>43724</v>
      </c>
      <c r="G143" s="25">
        <v>59.117485000000002</v>
      </c>
      <c r="H143" s="28">
        <f t="shared" si="8"/>
        <v>2.6662653388788149E-2</v>
      </c>
      <c r="J143" s="24">
        <v>43724</v>
      </c>
      <c r="K143" s="233">
        <v>43.151629999999997</v>
      </c>
      <c r="L143" s="28">
        <f t="shared" si="9"/>
        <v>2.3062878127775077E-2</v>
      </c>
      <c r="N143" s="24">
        <v>43724</v>
      </c>
      <c r="O143" s="25">
        <v>29.096142</v>
      </c>
      <c r="P143" s="28">
        <f t="shared" si="10"/>
        <v>-5.9602803536367155E-3</v>
      </c>
      <c r="R143" s="24">
        <v>43724</v>
      </c>
      <c r="S143" s="233">
        <v>295.86999500000002</v>
      </c>
      <c r="T143" s="28">
        <f t="shared" si="11"/>
        <v>5.0600100323132224E-2</v>
      </c>
      <c r="V143" s="24">
        <v>43724</v>
      </c>
      <c r="W143" s="25">
        <v>116.52873200000001</v>
      </c>
      <c r="X143" s="28">
        <f t="shared" si="12"/>
        <v>6.6523312677746471E-3</v>
      </c>
      <c r="Z143" s="24">
        <v>43724</v>
      </c>
      <c r="AA143" s="27">
        <v>2992.07</v>
      </c>
      <c r="AB143" s="28">
        <f t="shared" si="13"/>
        <v>-5.0941181556098947E-3</v>
      </c>
    </row>
    <row r="144" spans="2:28" x14ac:dyDescent="0.35">
      <c r="B144" s="24">
        <v>43731</v>
      </c>
      <c r="C144" s="25">
        <v>169.928741</v>
      </c>
      <c r="D144" s="28">
        <f t="shared" si="7"/>
        <v>-1.0155363945088425E-2</v>
      </c>
      <c r="F144" s="24">
        <v>43731</v>
      </c>
      <c r="G144" s="25">
        <v>61.126469</v>
      </c>
      <c r="H144" s="28">
        <f t="shared" si="8"/>
        <v>3.3982907087471537E-2</v>
      </c>
      <c r="J144" s="24">
        <v>43731</v>
      </c>
      <c r="K144" s="233">
        <v>42.852978</v>
      </c>
      <c r="L144" s="28">
        <f t="shared" si="9"/>
        <v>-6.9209900066347085E-3</v>
      </c>
      <c r="N144" s="24">
        <v>43731</v>
      </c>
      <c r="O144" s="25">
        <v>28.723419</v>
      </c>
      <c r="P144" s="28">
        <f t="shared" si="10"/>
        <v>-1.2810048837402555E-2</v>
      </c>
      <c r="R144" s="24">
        <v>43731</v>
      </c>
      <c r="S144" s="233">
        <v>273.459991</v>
      </c>
      <c r="T144" s="28">
        <f t="shared" si="11"/>
        <v>-7.574273964482281E-2</v>
      </c>
      <c r="V144" s="24">
        <v>43731</v>
      </c>
      <c r="W144" s="25">
        <v>113.829071</v>
      </c>
      <c r="X144" s="28">
        <f t="shared" si="12"/>
        <v>-2.3167342110956834E-2</v>
      </c>
      <c r="Z144" s="24">
        <v>43731</v>
      </c>
      <c r="AA144" s="27">
        <v>2961.79</v>
      </c>
      <c r="AB144" s="28">
        <f t="shared" si="13"/>
        <v>-1.0120084088941828E-2</v>
      </c>
    </row>
    <row r="145" spans="2:28" x14ac:dyDescent="0.35">
      <c r="B145" s="24">
        <v>43738</v>
      </c>
      <c r="C145" s="25">
        <v>170.495361</v>
      </c>
      <c r="D145" s="28">
        <f t="shared" si="7"/>
        <v>3.3344565296344886E-3</v>
      </c>
      <c r="F145" s="24">
        <v>43738</v>
      </c>
      <c r="G145" s="25">
        <v>60.971291000000001</v>
      </c>
      <c r="H145" s="28">
        <f t="shared" si="8"/>
        <v>-2.5386383761182296E-3</v>
      </c>
      <c r="J145" s="24">
        <v>43738</v>
      </c>
      <c r="K145" s="233">
        <v>43.305228999999997</v>
      </c>
      <c r="L145" s="28">
        <f t="shared" si="9"/>
        <v>1.0553548927217937E-2</v>
      </c>
      <c r="N145" s="24">
        <v>43738</v>
      </c>
      <c r="O145" s="25">
        <v>28.493433</v>
      </c>
      <c r="P145" s="28">
        <f t="shared" si="10"/>
        <v>-8.0069158897831949E-3</v>
      </c>
      <c r="R145" s="24">
        <v>43738</v>
      </c>
      <c r="S145" s="233">
        <v>282.92999300000002</v>
      </c>
      <c r="T145" s="28">
        <f t="shared" si="11"/>
        <v>3.4630301732146318E-2</v>
      </c>
      <c r="V145" s="24">
        <v>43738</v>
      </c>
      <c r="W145" s="25">
        <v>118.307892</v>
      </c>
      <c r="X145" s="28">
        <f t="shared" si="12"/>
        <v>3.93468993522752E-2</v>
      </c>
      <c r="Z145" s="24">
        <v>43738</v>
      </c>
      <c r="AA145" s="27">
        <v>2952.01</v>
      </c>
      <c r="AB145" s="28">
        <f t="shared" si="13"/>
        <v>-3.3020572018946925E-3</v>
      </c>
    </row>
    <row r="146" spans="2:28" x14ac:dyDescent="0.35">
      <c r="B146" s="24">
        <v>43745</v>
      </c>
      <c r="C146" s="25">
        <v>175.03688</v>
      </c>
      <c r="D146" s="28">
        <f t="shared" ref="D146:D209" si="14">(C146/C145)-1</f>
        <v>2.6637199823870805E-2</v>
      </c>
      <c r="F146" s="24">
        <v>43745</v>
      </c>
      <c r="G146" s="25">
        <v>60.130130999999999</v>
      </c>
      <c r="H146" s="28">
        <f t="shared" ref="H146:H209" si="15">(G146/G145)-1</f>
        <v>-1.3796001137650227E-2</v>
      </c>
      <c r="J146" s="24">
        <v>43745</v>
      </c>
      <c r="K146" s="233">
        <v>44.409077000000003</v>
      </c>
      <c r="L146" s="28">
        <f t="shared" ref="L146:L209" si="16">(K146/K145)-1</f>
        <v>2.5489947183976458E-2</v>
      </c>
      <c r="N146" s="24">
        <v>43745</v>
      </c>
      <c r="O146" s="25">
        <v>28.636177</v>
      </c>
      <c r="P146" s="28">
        <f t="shared" ref="P146:P209" si="17">(O146/O145)-1</f>
        <v>5.0097157474846554E-3</v>
      </c>
      <c r="R146" s="24">
        <v>43745</v>
      </c>
      <c r="S146" s="233">
        <v>300.76998900000001</v>
      </c>
      <c r="T146" s="28">
        <f t="shared" ref="T146:T209" si="18">(S146/S145)-1</f>
        <v>6.305445319118208E-2</v>
      </c>
      <c r="V146" s="24">
        <v>43745</v>
      </c>
      <c r="W146" s="25">
        <v>116.24548299999999</v>
      </c>
      <c r="X146" s="28">
        <f t="shared" ref="X146:X209" si="19">(W146/W145)-1</f>
        <v>-1.7432556401224764E-2</v>
      </c>
      <c r="Z146" s="24">
        <v>43745</v>
      </c>
      <c r="AA146" s="27">
        <v>2970.27</v>
      </c>
      <c r="AB146" s="28">
        <f t="shared" ref="AB146:AB209" si="20">(AA146/AA145)-1</f>
        <v>6.1856159023849777E-3</v>
      </c>
    </row>
    <row r="147" spans="2:28" x14ac:dyDescent="0.35">
      <c r="B147" s="24">
        <v>43752</v>
      </c>
      <c r="C147" s="25">
        <v>176.71057099999999</v>
      </c>
      <c r="D147" s="28">
        <f t="shared" si="14"/>
        <v>9.5619334622509822E-3</v>
      </c>
      <c r="F147" s="24">
        <v>43752</v>
      </c>
      <c r="G147" s="25">
        <v>63.351753000000002</v>
      </c>
      <c r="H147" s="28">
        <f t="shared" si="15"/>
        <v>5.3577498442503035E-2</v>
      </c>
      <c r="J147" s="24">
        <v>43752</v>
      </c>
      <c r="K147" s="233">
        <v>45.630951000000003</v>
      </c>
      <c r="L147" s="28">
        <f t="shared" si="16"/>
        <v>2.751405979457755E-2</v>
      </c>
      <c r="N147" s="24">
        <v>43752</v>
      </c>
      <c r="O147" s="25">
        <v>28.913740000000001</v>
      </c>
      <c r="P147" s="28">
        <f t="shared" si="17"/>
        <v>9.6927393625203528E-3</v>
      </c>
      <c r="R147" s="24">
        <v>43752</v>
      </c>
      <c r="S147" s="233">
        <v>300.19000199999999</v>
      </c>
      <c r="T147" s="28">
        <f t="shared" si="18"/>
        <v>-1.9283406630041799E-3</v>
      </c>
      <c r="V147" s="24">
        <v>43752</v>
      </c>
      <c r="W147" s="25">
        <v>113.03243999999999</v>
      </c>
      <c r="X147" s="28">
        <f t="shared" si="19"/>
        <v>-2.7640153553321278E-2</v>
      </c>
      <c r="Z147" s="24">
        <v>43752</v>
      </c>
      <c r="AA147" s="27">
        <v>2986.2</v>
      </c>
      <c r="AB147" s="28">
        <f t="shared" si="20"/>
        <v>5.3631488046541609E-3</v>
      </c>
    </row>
    <row r="148" spans="2:28" x14ac:dyDescent="0.35">
      <c r="B148" s="24">
        <v>43759</v>
      </c>
      <c r="C148" s="25">
        <v>176.99823000000001</v>
      </c>
      <c r="D148" s="28">
        <f t="shared" si="14"/>
        <v>1.6278539442895479E-3</v>
      </c>
      <c r="F148" s="24">
        <v>43759</v>
      </c>
      <c r="G148" s="25">
        <v>63.409770999999999</v>
      </c>
      <c r="H148" s="28">
        <f t="shared" si="15"/>
        <v>9.1580733369767131E-4</v>
      </c>
      <c r="J148" s="24">
        <v>43759</v>
      </c>
      <c r="K148" s="233">
        <v>47.308867999999997</v>
      </c>
      <c r="L148" s="28">
        <f t="shared" si="16"/>
        <v>3.677146680550214E-2</v>
      </c>
      <c r="N148" s="24">
        <v>43759</v>
      </c>
      <c r="O148" s="25">
        <v>29.159576000000001</v>
      </c>
      <c r="P148" s="28">
        <f t="shared" si="17"/>
        <v>8.5023936716592807E-3</v>
      </c>
      <c r="R148" s="24">
        <v>43759</v>
      </c>
      <c r="S148" s="233">
        <v>306.209991</v>
      </c>
      <c r="T148" s="28">
        <f t="shared" si="18"/>
        <v>2.0053929044578922E-2</v>
      </c>
      <c r="V148" s="24">
        <v>43759</v>
      </c>
      <c r="W148" s="25">
        <v>113.607788</v>
      </c>
      <c r="X148" s="28">
        <f t="shared" si="19"/>
        <v>5.0901139531271955E-3</v>
      </c>
      <c r="Z148" s="24">
        <v>43759</v>
      </c>
      <c r="AA148" s="27">
        <v>3022.55</v>
      </c>
      <c r="AB148" s="28">
        <f t="shared" si="20"/>
        <v>1.2172660906838217E-2</v>
      </c>
    </row>
    <row r="149" spans="2:28" x14ac:dyDescent="0.35">
      <c r="B149" s="24">
        <v>43766</v>
      </c>
      <c r="C149" s="25">
        <v>189.986481</v>
      </c>
      <c r="D149" s="28">
        <f t="shared" si="14"/>
        <v>7.3380682959371946E-2</v>
      </c>
      <c r="F149" s="24">
        <v>43766</v>
      </c>
      <c r="G149" s="25">
        <v>67.734855999999994</v>
      </c>
      <c r="H149" s="28">
        <f t="shared" si="15"/>
        <v>6.8208494239791362E-2</v>
      </c>
      <c r="J149" s="24">
        <v>43766</v>
      </c>
      <c r="K149" s="233">
        <v>49.184696000000002</v>
      </c>
      <c r="L149" s="28">
        <f t="shared" si="16"/>
        <v>3.9650663380912166E-2</v>
      </c>
      <c r="N149" s="24">
        <v>43766</v>
      </c>
      <c r="O149" s="25">
        <v>30.444271000000001</v>
      </c>
      <c r="P149" s="28">
        <f t="shared" si="17"/>
        <v>4.40573964449964E-2</v>
      </c>
      <c r="R149" s="24">
        <v>43766</v>
      </c>
      <c r="S149" s="233">
        <v>310.48001099999999</v>
      </c>
      <c r="T149" s="28">
        <f t="shared" si="18"/>
        <v>1.3944744213130411E-2</v>
      </c>
      <c r="V149" s="24">
        <v>43766</v>
      </c>
      <c r="W149" s="25">
        <v>116.130432</v>
      </c>
      <c r="X149" s="28">
        <f t="shared" si="19"/>
        <v>2.2204850956168531E-2</v>
      </c>
      <c r="Z149" s="24">
        <v>43766</v>
      </c>
      <c r="AA149" s="27">
        <v>3066.91</v>
      </c>
      <c r="AB149" s="28">
        <f t="shared" si="20"/>
        <v>1.4676349440042147E-2</v>
      </c>
    </row>
    <row r="150" spans="2:28" x14ac:dyDescent="0.35">
      <c r="B150" s="24">
        <v>43773</v>
      </c>
      <c r="C150" s="25">
        <v>192.741074</v>
      </c>
      <c r="D150" s="28">
        <f t="shared" si="14"/>
        <v>1.4498889528881787E-2</v>
      </c>
      <c r="F150" s="24">
        <v>43773</v>
      </c>
      <c r="G150" s="25">
        <v>70.601685000000003</v>
      </c>
      <c r="H150" s="28">
        <f t="shared" si="15"/>
        <v>4.2324279836071454E-2</v>
      </c>
      <c r="J150" s="24">
        <v>43773</v>
      </c>
      <c r="K150" s="233">
        <v>49.924709</v>
      </c>
      <c r="L150" s="28">
        <f t="shared" si="16"/>
        <v>1.5045594670342055E-2</v>
      </c>
      <c r="N150" s="24">
        <v>43773</v>
      </c>
      <c r="O150" s="25">
        <v>29.381630000000001</v>
      </c>
      <c r="P150" s="28">
        <f t="shared" si="17"/>
        <v>-3.4904465276898833E-2</v>
      </c>
      <c r="R150" s="24">
        <v>43773</v>
      </c>
      <c r="S150" s="233">
        <v>341.790009</v>
      </c>
      <c r="T150" s="28">
        <f t="shared" si="18"/>
        <v>0.10084384466219309</v>
      </c>
      <c r="V150" s="24">
        <v>43773</v>
      </c>
      <c r="W150" s="25">
        <v>117.723679</v>
      </c>
      <c r="X150" s="28">
        <f t="shared" si="19"/>
        <v>1.3719461579200898E-2</v>
      </c>
      <c r="Z150" s="24">
        <v>43773</v>
      </c>
      <c r="AA150" s="27">
        <v>3093.08</v>
      </c>
      <c r="AB150" s="28">
        <f t="shared" si="20"/>
        <v>8.533018575699991E-3</v>
      </c>
    </row>
    <row r="151" spans="2:28" x14ac:dyDescent="0.35">
      <c r="B151" s="24">
        <v>43780</v>
      </c>
      <c r="C151" s="25">
        <v>192.52314799999999</v>
      </c>
      <c r="D151" s="28">
        <f t="shared" si="14"/>
        <v>-1.1306671457066431E-3</v>
      </c>
      <c r="F151" s="24">
        <v>43780</v>
      </c>
      <c r="G151" s="25">
        <v>73.435355999999999</v>
      </c>
      <c r="H151" s="28">
        <f t="shared" si="15"/>
        <v>4.0136025082120774E-2</v>
      </c>
      <c r="J151" s="24">
        <v>43780</v>
      </c>
      <c r="K151" s="233">
        <v>50.415184000000004</v>
      </c>
      <c r="L151" s="28">
        <f t="shared" si="16"/>
        <v>9.8242936178156715E-3</v>
      </c>
      <c r="N151" s="24">
        <v>43780</v>
      </c>
      <c r="O151" s="25">
        <v>29.849737000000001</v>
      </c>
      <c r="P151" s="28">
        <f t="shared" si="17"/>
        <v>1.5931961569184638E-2</v>
      </c>
      <c r="R151" s="24">
        <v>43780</v>
      </c>
      <c r="S151" s="233">
        <v>344.86999500000002</v>
      </c>
      <c r="T151" s="28">
        <f t="shared" si="18"/>
        <v>9.0113400593871962E-3</v>
      </c>
      <c r="V151" s="24">
        <v>43780</v>
      </c>
      <c r="W151" s="25">
        <v>119.440865</v>
      </c>
      <c r="X151" s="28">
        <f t="shared" si="19"/>
        <v>1.4586581175398017E-2</v>
      </c>
      <c r="Z151" s="24">
        <v>43780</v>
      </c>
      <c r="AA151" s="27">
        <v>3120.46</v>
      </c>
      <c r="AB151" s="28">
        <f t="shared" si="20"/>
        <v>8.8520180532025705E-3</v>
      </c>
    </row>
    <row r="152" spans="2:28" x14ac:dyDescent="0.35">
      <c r="B152" s="24">
        <v>43787</v>
      </c>
      <c r="C152" s="25">
        <v>202.47198499999999</v>
      </c>
      <c r="D152" s="28">
        <f t="shared" si="14"/>
        <v>5.1676056117677893E-2</v>
      </c>
      <c r="F152" s="24">
        <v>43787</v>
      </c>
      <c r="G152" s="25">
        <v>71.297661000000005</v>
      </c>
      <c r="H152" s="28">
        <f t="shared" si="15"/>
        <v>-2.9109888157960229E-2</v>
      </c>
      <c r="J152" s="24">
        <v>43787</v>
      </c>
      <c r="K152" s="233">
        <v>48.573771999999998</v>
      </c>
      <c r="L152" s="28">
        <f t="shared" si="16"/>
        <v>-3.6524948515510802E-2</v>
      </c>
      <c r="N152" s="24">
        <v>43787</v>
      </c>
      <c r="O152" s="25">
        <v>30.690466000000001</v>
      </c>
      <c r="P152" s="28">
        <f t="shared" si="17"/>
        <v>2.8165373785370429E-2</v>
      </c>
      <c r="R152" s="24">
        <v>43787</v>
      </c>
      <c r="S152" s="233">
        <v>360.66000400000001</v>
      </c>
      <c r="T152" s="28">
        <f t="shared" si="18"/>
        <v>4.5785395160283571E-2</v>
      </c>
      <c r="V152" s="24">
        <v>43787</v>
      </c>
      <c r="W152" s="25">
        <v>122.21135700000001</v>
      </c>
      <c r="X152" s="28">
        <f t="shared" si="19"/>
        <v>2.319551185433899E-2</v>
      </c>
      <c r="Z152" s="24">
        <v>43787</v>
      </c>
      <c r="AA152" s="27">
        <v>3110.29</v>
      </c>
      <c r="AB152" s="28">
        <f t="shared" si="20"/>
        <v>-3.259134871140823E-3</v>
      </c>
    </row>
    <row r="153" spans="2:28" x14ac:dyDescent="0.35">
      <c r="B153" s="24">
        <v>43794</v>
      </c>
      <c r="C153" s="25">
        <v>205.96444700000001</v>
      </c>
      <c r="D153" s="28">
        <f t="shared" si="14"/>
        <v>1.7249112266074729E-2</v>
      </c>
      <c r="F153" s="24">
        <v>43794</v>
      </c>
      <c r="G153" s="25">
        <v>72.689644000000001</v>
      </c>
      <c r="H153" s="28">
        <f t="shared" si="15"/>
        <v>1.9523543696615686E-2</v>
      </c>
      <c r="J153" s="24">
        <v>43794</v>
      </c>
      <c r="K153" s="233">
        <v>48.995398999999999</v>
      </c>
      <c r="L153" s="28">
        <f t="shared" si="16"/>
        <v>8.6801370912681364E-3</v>
      </c>
      <c r="N153" s="24">
        <v>43794</v>
      </c>
      <c r="O153" s="25">
        <v>30.842600000000001</v>
      </c>
      <c r="P153" s="28">
        <f t="shared" si="17"/>
        <v>4.9570443146742527E-3</v>
      </c>
      <c r="R153" s="24">
        <v>43794</v>
      </c>
      <c r="S153" s="233">
        <v>369</v>
      </c>
      <c r="T153" s="28">
        <f t="shared" si="18"/>
        <v>2.3124260820448495E-2</v>
      </c>
      <c r="V153" s="24">
        <v>43794</v>
      </c>
      <c r="W153" s="25">
        <v>121.69795999999999</v>
      </c>
      <c r="X153" s="28">
        <f t="shared" si="19"/>
        <v>-4.2008943571423263E-3</v>
      </c>
      <c r="Z153" s="24">
        <v>43794</v>
      </c>
      <c r="AA153" s="27">
        <v>3140.98</v>
      </c>
      <c r="AB153" s="28">
        <f t="shared" si="20"/>
        <v>9.8672471055754052E-3</v>
      </c>
    </row>
    <row r="154" spans="2:28" x14ac:dyDescent="0.35">
      <c r="B154" s="24">
        <v>43801</v>
      </c>
      <c r="C154" s="25">
        <v>205.13078300000001</v>
      </c>
      <c r="D154" s="28">
        <f t="shared" si="14"/>
        <v>-4.0476111879639287E-3</v>
      </c>
      <c r="F154" s="24">
        <v>43801</v>
      </c>
      <c r="G154" s="25">
        <v>72.06823</v>
      </c>
      <c r="H154" s="28">
        <f t="shared" si="15"/>
        <v>-8.5488656403379659E-3</v>
      </c>
      <c r="J154" s="24">
        <v>43801</v>
      </c>
      <c r="K154" s="233">
        <v>51.585422999999999</v>
      </c>
      <c r="L154" s="28">
        <f t="shared" si="16"/>
        <v>5.2862596342974966E-2</v>
      </c>
      <c r="N154" s="24">
        <v>43801</v>
      </c>
      <c r="O154" s="25">
        <v>30.658439999999999</v>
      </c>
      <c r="P154" s="28">
        <f t="shared" si="17"/>
        <v>-5.9709622405375029E-3</v>
      </c>
      <c r="R154" s="24">
        <v>43801</v>
      </c>
      <c r="S154" s="233">
        <v>372.26001000000002</v>
      </c>
      <c r="T154" s="28">
        <f t="shared" si="18"/>
        <v>8.8347154471546396E-3</v>
      </c>
      <c r="V154" s="24">
        <v>43801</v>
      </c>
      <c r="W154" s="25">
        <v>125.11691999999999</v>
      </c>
      <c r="X154" s="28">
        <f t="shared" si="19"/>
        <v>2.8093815212679063E-2</v>
      </c>
      <c r="Z154" s="24">
        <v>43801</v>
      </c>
      <c r="AA154" s="27">
        <v>3145.91</v>
      </c>
      <c r="AB154" s="28">
        <f t="shared" si="20"/>
        <v>1.5695738272767379E-3</v>
      </c>
    </row>
    <row r="155" spans="2:28" x14ac:dyDescent="0.35">
      <c r="B155" s="24">
        <v>43808</v>
      </c>
      <c r="C155" s="25">
        <v>207.73698400000001</v>
      </c>
      <c r="D155" s="28">
        <f t="shared" si="14"/>
        <v>1.2705070208794522E-2</v>
      </c>
      <c r="F155" s="24">
        <v>43808</v>
      </c>
      <c r="G155" s="25">
        <v>72.780792000000005</v>
      </c>
      <c r="H155" s="28">
        <f t="shared" si="15"/>
        <v>9.8873248309276907E-3</v>
      </c>
      <c r="J155" s="24">
        <v>43808</v>
      </c>
      <c r="K155" s="233">
        <v>54.915461999999998</v>
      </c>
      <c r="L155" s="28">
        <f t="shared" si="16"/>
        <v>6.4553876004855182E-2</v>
      </c>
      <c r="N155" s="24">
        <v>43808</v>
      </c>
      <c r="O155" s="25">
        <v>30.690466000000001</v>
      </c>
      <c r="P155" s="28">
        <f t="shared" si="17"/>
        <v>1.0446063139546435E-3</v>
      </c>
      <c r="R155" s="24">
        <v>43808</v>
      </c>
      <c r="S155" s="233">
        <v>376.42001299999998</v>
      </c>
      <c r="T155" s="28">
        <f t="shared" si="18"/>
        <v>1.117499298407032E-2</v>
      </c>
      <c r="V155" s="24">
        <v>43808</v>
      </c>
      <c r="W155" s="25">
        <v>126.00818599999999</v>
      </c>
      <c r="X155" s="28">
        <f t="shared" si="19"/>
        <v>7.1234649957816476E-3</v>
      </c>
      <c r="Z155" s="24">
        <v>43808</v>
      </c>
      <c r="AA155" s="27">
        <v>3168.8</v>
      </c>
      <c r="AB155" s="28">
        <f t="shared" si="20"/>
        <v>7.2761140655646095E-3</v>
      </c>
    </row>
    <row r="156" spans="2:28" x14ac:dyDescent="0.35">
      <c r="B156" s="24">
        <v>43815</v>
      </c>
      <c r="C156" s="25">
        <v>213.28265400000001</v>
      </c>
      <c r="D156" s="28">
        <f t="shared" si="14"/>
        <v>2.6695631626191263E-2</v>
      </c>
      <c r="F156" s="24">
        <v>43815</v>
      </c>
      <c r="G156" s="25">
        <v>73.982201000000003</v>
      </c>
      <c r="H156" s="28">
        <f t="shared" si="15"/>
        <v>1.6507226247276963E-2</v>
      </c>
      <c r="J156" s="24">
        <v>43815</v>
      </c>
      <c r="K156" s="233">
        <v>54.648716</v>
      </c>
      <c r="L156" s="28">
        <f t="shared" si="16"/>
        <v>-4.8573933512567891E-3</v>
      </c>
      <c r="N156" s="24">
        <v>43815</v>
      </c>
      <c r="O156" s="25">
        <v>31.411093000000001</v>
      </c>
      <c r="P156" s="28">
        <f t="shared" si="17"/>
        <v>2.3480484134714708E-2</v>
      </c>
      <c r="R156" s="24">
        <v>43815</v>
      </c>
      <c r="S156" s="233">
        <v>375.61999500000002</v>
      </c>
      <c r="T156" s="28">
        <f t="shared" si="18"/>
        <v>-2.1253333307758027E-3</v>
      </c>
      <c r="V156" s="24">
        <v>43815</v>
      </c>
      <c r="W156" s="25">
        <v>130.17932099999999</v>
      </c>
      <c r="X156" s="28">
        <f t="shared" si="19"/>
        <v>3.310209544640208E-2</v>
      </c>
      <c r="Z156" s="24">
        <v>43815</v>
      </c>
      <c r="AA156" s="27">
        <v>3221.22</v>
      </c>
      <c r="AB156" s="28">
        <f t="shared" si="20"/>
        <v>1.6542539762686159E-2</v>
      </c>
    </row>
    <row r="157" spans="2:28" x14ac:dyDescent="0.35">
      <c r="B157" s="24">
        <v>43822</v>
      </c>
      <c r="C157" s="25">
        <v>211.94014000000001</v>
      </c>
      <c r="D157" s="28">
        <f t="shared" si="14"/>
        <v>-6.2945296995413624E-3</v>
      </c>
      <c r="F157" s="24">
        <v>43822</v>
      </c>
      <c r="G157" s="25">
        <v>73.907630999999995</v>
      </c>
      <c r="H157" s="28">
        <f t="shared" si="15"/>
        <v>-1.0079451407509765E-3</v>
      </c>
      <c r="J157" s="24">
        <v>43822</v>
      </c>
      <c r="K157" s="233">
        <v>55.190810999999997</v>
      </c>
      <c r="L157" s="28">
        <f t="shared" si="16"/>
        <v>9.9196292187357926E-3</v>
      </c>
      <c r="N157" s="24">
        <v>43822</v>
      </c>
      <c r="O157" s="25">
        <v>31.483141</v>
      </c>
      <c r="P157" s="28">
        <f t="shared" si="17"/>
        <v>2.2937119698445141E-3</v>
      </c>
      <c r="R157" s="24">
        <v>43822</v>
      </c>
      <c r="S157" s="233">
        <v>373.32000699999998</v>
      </c>
      <c r="T157" s="28">
        <f t="shared" si="18"/>
        <v>-6.123177761077514E-3</v>
      </c>
      <c r="V157" s="24">
        <v>43822</v>
      </c>
      <c r="W157" s="25">
        <v>129.90303</v>
      </c>
      <c r="X157" s="28">
        <f t="shared" si="19"/>
        <v>-2.1223877792386769E-3</v>
      </c>
      <c r="Z157" s="24">
        <v>43822</v>
      </c>
      <c r="AA157" s="27">
        <v>3240.02</v>
      </c>
      <c r="AB157" s="28">
        <f t="shared" si="20"/>
        <v>5.836298048565558E-3</v>
      </c>
    </row>
    <row r="158" spans="2:28" x14ac:dyDescent="0.35">
      <c r="B158" s="24">
        <v>43829</v>
      </c>
      <c r="C158" s="25">
        <v>209.25498999999999</v>
      </c>
      <c r="D158" s="28">
        <f t="shared" si="14"/>
        <v>-1.2669379193578023E-2</v>
      </c>
      <c r="F158" s="24">
        <v>43829</v>
      </c>
      <c r="G158" s="25">
        <v>73.493347</v>
      </c>
      <c r="H158" s="28">
        <f t="shared" si="15"/>
        <v>-5.6054292959274443E-3</v>
      </c>
      <c r="J158" s="24">
        <v>43829</v>
      </c>
      <c r="K158" s="233">
        <v>54.020564999999998</v>
      </c>
      <c r="L158" s="28">
        <f t="shared" si="16"/>
        <v>-2.1203638410024483E-2</v>
      </c>
      <c r="N158" s="24">
        <v>43829</v>
      </c>
      <c r="O158" s="25">
        <v>31.170888999999999</v>
      </c>
      <c r="P158" s="28">
        <f t="shared" si="17"/>
        <v>-9.9180701188613662E-3</v>
      </c>
      <c r="R158" s="24">
        <v>43829</v>
      </c>
      <c r="S158" s="233">
        <v>369.16000400000001</v>
      </c>
      <c r="T158" s="28">
        <f t="shared" si="18"/>
        <v>-1.1143262943311694E-2</v>
      </c>
      <c r="V158" s="24">
        <v>43829</v>
      </c>
      <c r="W158" s="25">
        <v>128.59283400000001</v>
      </c>
      <c r="X158" s="28">
        <f t="shared" si="19"/>
        <v>-1.0085954115158002E-2</v>
      </c>
      <c r="Z158" s="24">
        <v>43829</v>
      </c>
      <c r="AA158" s="27">
        <v>3234.85</v>
      </c>
      <c r="AB158" s="28">
        <f t="shared" si="20"/>
        <v>-1.5956691625360619E-3</v>
      </c>
    </row>
    <row r="159" spans="2:28" x14ac:dyDescent="0.35">
      <c r="B159" s="24">
        <v>43836</v>
      </c>
      <c r="C159" s="25">
        <v>209.07074</v>
      </c>
      <c r="D159" s="28">
        <f t="shared" si="14"/>
        <v>-8.8050468951772487E-4</v>
      </c>
      <c r="F159" s="24">
        <v>43836</v>
      </c>
      <c r="G159" s="25">
        <v>73.791611000000003</v>
      </c>
      <c r="H159" s="28">
        <f t="shared" si="15"/>
        <v>4.0583809579390895E-3</v>
      </c>
      <c r="J159" s="24">
        <v>43836</v>
      </c>
      <c r="K159" s="233">
        <v>56.524997999999997</v>
      </c>
      <c r="L159" s="28">
        <f t="shared" si="16"/>
        <v>4.6360733176337598E-2</v>
      </c>
      <c r="N159" s="24">
        <v>43836</v>
      </c>
      <c r="O159" s="25">
        <v>31.619263</v>
      </c>
      <c r="P159" s="28">
        <f t="shared" si="17"/>
        <v>1.4384382813079188E-2</v>
      </c>
      <c r="R159" s="24">
        <v>43836</v>
      </c>
      <c r="S159" s="233">
        <v>381.41000400000001</v>
      </c>
      <c r="T159" s="28">
        <f t="shared" si="18"/>
        <v>3.3183443133780077E-2</v>
      </c>
      <c r="V159" s="24">
        <v>43836</v>
      </c>
      <c r="W159" s="25">
        <v>129.28808599999999</v>
      </c>
      <c r="X159" s="28">
        <f t="shared" si="19"/>
        <v>5.4066154261751542E-3</v>
      </c>
      <c r="Z159" s="24">
        <v>43836</v>
      </c>
      <c r="AA159" s="27">
        <v>3265.35</v>
      </c>
      <c r="AB159" s="28">
        <f t="shared" si="20"/>
        <v>9.4285670123808174E-3</v>
      </c>
    </row>
    <row r="160" spans="2:28" x14ac:dyDescent="0.35">
      <c r="B160" s="24">
        <v>43843</v>
      </c>
      <c r="C160" s="25">
        <v>211.90502900000001</v>
      </c>
      <c r="D160" s="28">
        <f t="shared" si="14"/>
        <v>1.3556602899095438E-2</v>
      </c>
      <c r="F160" s="24">
        <v>43843</v>
      </c>
      <c r="G160" s="25">
        <v>72.913368000000006</v>
      </c>
      <c r="H160" s="28">
        <f t="shared" si="15"/>
        <v>-1.1901664540160284E-2</v>
      </c>
      <c r="J160" s="24">
        <v>43843</v>
      </c>
      <c r="K160" s="233">
        <v>57.816147000000001</v>
      </c>
      <c r="L160" s="28">
        <f t="shared" si="16"/>
        <v>2.2842088380082837E-2</v>
      </c>
      <c r="N160" s="24">
        <v>43843</v>
      </c>
      <c r="O160" s="25">
        <v>32.435966000000001</v>
      </c>
      <c r="P160" s="28">
        <f t="shared" si="17"/>
        <v>2.5829286406833685E-2</v>
      </c>
      <c r="R160" s="24">
        <v>43843</v>
      </c>
      <c r="S160" s="233">
        <v>385.94000199999999</v>
      </c>
      <c r="T160" s="28">
        <f t="shared" si="18"/>
        <v>1.1876977406182432E-2</v>
      </c>
      <c r="V160" s="24">
        <v>43843</v>
      </c>
      <c r="W160" s="25">
        <v>132.95121800000001</v>
      </c>
      <c r="X160" s="28">
        <f t="shared" si="19"/>
        <v>2.8333097915921091E-2</v>
      </c>
      <c r="Z160" s="24">
        <v>43843</v>
      </c>
      <c r="AA160" s="27">
        <v>3329.62</v>
      </c>
      <c r="AB160" s="28">
        <f t="shared" si="20"/>
        <v>1.9682423017440609E-2</v>
      </c>
    </row>
    <row r="161" spans="2:28" x14ac:dyDescent="0.35">
      <c r="B161" s="24">
        <v>43850</v>
      </c>
      <c r="C161" s="25">
        <v>197.952911</v>
      </c>
      <c r="D161" s="28">
        <f t="shared" si="14"/>
        <v>-6.5841372740615856E-2</v>
      </c>
      <c r="F161" s="24">
        <v>43850</v>
      </c>
      <c r="G161" s="25">
        <v>70.153144999999995</v>
      </c>
      <c r="H161" s="28">
        <f t="shared" si="15"/>
        <v>-3.7856199428340953E-2</v>
      </c>
      <c r="J161" s="24">
        <v>43850</v>
      </c>
      <c r="K161" s="233">
        <v>55.597800999999997</v>
      </c>
      <c r="L161" s="28">
        <f t="shared" si="16"/>
        <v>-3.8368969831213517E-2</v>
      </c>
      <c r="N161" s="24">
        <v>43850</v>
      </c>
      <c r="O161" s="25">
        <v>31.883500999999999</v>
      </c>
      <c r="P161" s="28">
        <f t="shared" si="17"/>
        <v>-1.703248178272232E-2</v>
      </c>
      <c r="R161" s="24">
        <v>43850</v>
      </c>
      <c r="S161" s="233">
        <v>345.27999899999998</v>
      </c>
      <c r="T161" s="28">
        <f t="shared" si="18"/>
        <v>-0.10535317093147556</v>
      </c>
      <c r="V161" s="24">
        <v>43850</v>
      </c>
      <c r="W161" s="25">
        <v>132.193634</v>
      </c>
      <c r="X161" s="28">
        <f t="shared" si="19"/>
        <v>-5.6982103014656671E-3</v>
      </c>
      <c r="Z161" s="24">
        <v>43850</v>
      </c>
      <c r="AA161" s="27">
        <v>3295.47</v>
      </c>
      <c r="AB161" s="28">
        <f t="shared" si="20"/>
        <v>-1.0256425658183299E-2</v>
      </c>
    </row>
    <row r="162" spans="2:28" x14ac:dyDescent="0.35">
      <c r="B162" s="24">
        <v>43857</v>
      </c>
      <c r="C162" s="25">
        <v>189.58171100000001</v>
      </c>
      <c r="D162" s="28">
        <f t="shared" si="14"/>
        <v>-4.2288845148632292E-2</v>
      </c>
      <c r="F162" s="24">
        <v>43857</v>
      </c>
      <c r="G162" s="25">
        <v>68.036957000000001</v>
      </c>
      <c r="H162" s="28">
        <f t="shared" si="15"/>
        <v>-3.0165262013556071E-2</v>
      </c>
      <c r="J162" s="24">
        <v>43857</v>
      </c>
      <c r="K162" s="233">
        <v>54.549267</v>
      </c>
      <c r="L162" s="28">
        <f t="shared" si="16"/>
        <v>-1.8859271070810868E-2</v>
      </c>
      <c r="N162" s="24">
        <v>43857</v>
      </c>
      <c r="O162" s="25">
        <v>29.817713000000001</v>
      </c>
      <c r="P162" s="28">
        <f t="shared" si="17"/>
        <v>-6.4791755459979061E-2</v>
      </c>
      <c r="R162" s="24">
        <v>43857</v>
      </c>
      <c r="S162" s="233">
        <v>337.94000199999999</v>
      </c>
      <c r="T162" s="28">
        <f t="shared" si="18"/>
        <v>-2.1258100733486107E-2</v>
      </c>
      <c r="V162" s="24">
        <v>43857</v>
      </c>
      <c r="W162" s="25">
        <v>132.68377699999999</v>
      </c>
      <c r="X162" s="28">
        <f t="shared" si="19"/>
        <v>3.7077655343069615E-3</v>
      </c>
      <c r="Z162" s="24">
        <v>43857</v>
      </c>
      <c r="AA162" s="27">
        <v>3225.52</v>
      </c>
      <c r="AB162" s="28">
        <f t="shared" si="20"/>
        <v>-2.1226107353427559E-2</v>
      </c>
    </row>
    <row r="163" spans="2:28" x14ac:dyDescent="0.35">
      <c r="B163" s="24">
        <v>43864</v>
      </c>
      <c r="C163" s="25">
        <v>201.234756</v>
      </c>
      <c r="D163" s="28">
        <f t="shared" si="14"/>
        <v>6.1467136985592363E-2</v>
      </c>
      <c r="F163" s="24">
        <v>43864</v>
      </c>
      <c r="G163" s="25">
        <v>77.501014999999995</v>
      </c>
      <c r="H163" s="28">
        <f t="shared" si="15"/>
        <v>0.13910172378814645</v>
      </c>
      <c r="J163" s="24">
        <v>43864</v>
      </c>
      <c r="K163" s="233">
        <v>57.408875000000002</v>
      </c>
      <c r="L163" s="28">
        <f t="shared" si="16"/>
        <v>5.2422482597245468E-2</v>
      </c>
      <c r="N163" s="24">
        <v>43864</v>
      </c>
      <c r="O163" s="25">
        <v>30.777493</v>
      </c>
      <c r="P163" s="28">
        <f t="shared" si="17"/>
        <v>3.2188249984162143E-2</v>
      </c>
      <c r="R163" s="24">
        <v>43864</v>
      </c>
      <c r="S163" s="233">
        <v>381.86999500000002</v>
      </c>
      <c r="T163" s="28">
        <f t="shared" si="18"/>
        <v>0.12999346848556881</v>
      </c>
      <c r="V163" s="24">
        <v>43864</v>
      </c>
      <c r="W163" s="25">
        <v>135.37544299999999</v>
      </c>
      <c r="X163" s="28">
        <f t="shared" si="19"/>
        <v>2.028632332346092E-2</v>
      </c>
      <c r="Z163" s="24">
        <v>43864</v>
      </c>
      <c r="AA163" s="27">
        <v>3327.71</v>
      </c>
      <c r="AB163" s="28">
        <f t="shared" si="20"/>
        <v>3.1681713336144224E-2</v>
      </c>
    </row>
    <row r="164" spans="2:28" x14ac:dyDescent="0.35">
      <c r="B164" s="24">
        <v>43871</v>
      </c>
      <c r="C164" s="25">
        <v>196.10142500000001</v>
      </c>
      <c r="D164" s="28">
        <f t="shared" si="14"/>
        <v>-2.550916701486694E-2</v>
      </c>
      <c r="F164" s="24">
        <v>43871</v>
      </c>
      <c r="G164" s="25">
        <v>78.978981000000005</v>
      </c>
      <c r="H164" s="28">
        <f t="shared" si="15"/>
        <v>1.9070279273116775E-2</v>
      </c>
      <c r="J164" s="24">
        <v>43871</v>
      </c>
      <c r="K164" s="233">
        <v>57.521523000000002</v>
      </c>
      <c r="L164" s="28">
        <f t="shared" si="16"/>
        <v>1.9622053210412993E-3</v>
      </c>
      <c r="N164" s="24">
        <v>43871</v>
      </c>
      <c r="O164" s="25">
        <v>29.531832000000001</v>
      </c>
      <c r="P164" s="28">
        <f t="shared" si="17"/>
        <v>-4.0473114558095991E-2</v>
      </c>
      <c r="R164" s="24">
        <v>43871</v>
      </c>
      <c r="S164" s="233">
        <v>399.54998799999998</v>
      </c>
      <c r="T164" s="28">
        <f t="shared" si="18"/>
        <v>4.6298460815178633E-2</v>
      </c>
      <c r="V164" s="24">
        <v>43871</v>
      </c>
      <c r="W164" s="25">
        <v>133.80682400000001</v>
      </c>
      <c r="X164" s="28">
        <f t="shared" si="19"/>
        <v>-1.1587175378624526E-2</v>
      </c>
      <c r="Z164" s="24">
        <v>43871</v>
      </c>
      <c r="AA164" s="27">
        <v>3380.16</v>
      </c>
      <c r="AB164" s="28">
        <f t="shared" si="20"/>
        <v>1.5761589801995823E-2</v>
      </c>
    </row>
    <row r="165" spans="2:28" x14ac:dyDescent="0.35">
      <c r="B165" s="24">
        <v>43878</v>
      </c>
      <c r="C165" s="25">
        <v>196.88368199999999</v>
      </c>
      <c r="D165" s="28">
        <f t="shared" si="14"/>
        <v>3.9890429149098683E-3</v>
      </c>
      <c r="F165" s="24">
        <v>43878</v>
      </c>
      <c r="G165" s="25">
        <v>79.743140999999994</v>
      </c>
      <c r="H165" s="28">
        <f t="shared" si="15"/>
        <v>9.6754856839693648E-3</v>
      </c>
      <c r="J165" s="24">
        <v>43878</v>
      </c>
      <c r="K165" s="233">
        <v>56.871613000000004</v>
      </c>
      <c r="L165" s="28">
        <f t="shared" si="16"/>
        <v>-1.1298553412780743E-2</v>
      </c>
      <c r="N165" s="24">
        <v>43878</v>
      </c>
      <c r="O165" s="25">
        <v>28.892824000000001</v>
      </c>
      <c r="P165" s="28">
        <f t="shared" si="17"/>
        <v>-2.1637939698424424E-2</v>
      </c>
      <c r="R165" s="24">
        <v>43878</v>
      </c>
      <c r="S165" s="233">
        <v>403.14999399999999</v>
      </c>
      <c r="T165" s="28">
        <f t="shared" si="18"/>
        <v>9.0101516909568691E-3</v>
      </c>
      <c r="V165" s="24">
        <v>43878</v>
      </c>
      <c r="W165" s="25">
        <v>133.62853999999999</v>
      </c>
      <c r="X165" s="28">
        <f t="shared" si="19"/>
        <v>-1.3323984134024913E-3</v>
      </c>
      <c r="Z165" s="24">
        <v>43878</v>
      </c>
      <c r="AA165" s="27">
        <v>3337.75</v>
      </c>
      <c r="AB165" s="28">
        <f t="shared" si="20"/>
        <v>-1.2546743349427181E-2</v>
      </c>
    </row>
    <row r="166" spans="2:28" x14ac:dyDescent="0.35">
      <c r="B166" s="24">
        <v>43885</v>
      </c>
      <c r="C166" s="25">
        <v>176.50514200000001</v>
      </c>
      <c r="D166" s="28">
        <f t="shared" si="14"/>
        <v>-0.10350547995135517</v>
      </c>
      <c r="F166" s="24">
        <v>43885</v>
      </c>
      <c r="G166" s="25">
        <v>71.975409999999997</v>
      </c>
      <c r="H166" s="28">
        <f t="shared" si="15"/>
        <v>-9.7409393492538743E-2</v>
      </c>
      <c r="J166" s="24">
        <v>43885</v>
      </c>
      <c r="K166" s="233">
        <v>51.178387000000001</v>
      </c>
      <c r="L166" s="28">
        <f t="shared" si="16"/>
        <v>-0.10010663843840695</v>
      </c>
      <c r="N166" s="24">
        <v>43885</v>
      </c>
      <c r="O166" s="25">
        <v>27.032420999999999</v>
      </c>
      <c r="P166" s="28">
        <f t="shared" si="17"/>
        <v>-6.4389794503991737E-2</v>
      </c>
      <c r="R166" s="24">
        <v>43885</v>
      </c>
      <c r="S166" s="233">
        <v>444.57000699999998</v>
      </c>
      <c r="T166" s="28">
        <f t="shared" si="18"/>
        <v>0.10274094906720999</v>
      </c>
      <c r="V166" s="24">
        <v>43885</v>
      </c>
      <c r="W166" s="25">
        <v>119.858391</v>
      </c>
      <c r="X166" s="28">
        <f t="shared" si="19"/>
        <v>-0.10304796415496265</v>
      </c>
      <c r="Z166" s="24">
        <v>43885</v>
      </c>
      <c r="AA166" s="27">
        <v>2954.22</v>
      </c>
      <c r="AB166" s="28">
        <f t="shared" si="20"/>
        <v>-0.11490674855816052</v>
      </c>
    </row>
    <row r="167" spans="2:28" x14ac:dyDescent="0.35">
      <c r="B167" s="24">
        <v>43892</v>
      </c>
      <c r="C167" s="25">
        <v>186.15535</v>
      </c>
      <c r="D167" s="28">
        <f t="shared" si="14"/>
        <v>5.4673806613520615E-2</v>
      </c>
      <c r="F167" s="24">
        <v>43892</v>
      </c>
      <c r="G167" s="25">
        <v>74.587058999999996</v>
      </c>
      <c r="H167" s="28">
        <f t="shared" si="15"/>
        <v>3.6285295214018243E-2</v>
      </c>
      <c r="J167" s="24">
        <v>43892</v>
      </c>
      <c r="K167" s="233">
        <v>52.261578</v>
      </c>
      <c r="L167" s="28">
        <f t="shared" si="16"/>
        <v>2.1165008580672939E-2</v>
      </c>
      <c r="N167" s="24">
        <v>43892</v>
      </c>
      <c r="O167" s="25">
        <v>28.326613999999999</v>
      </c>
      <c r="P167" s="28">
        <f t="shared" si="17"/>
        <v>4.7875586134145998E-2</v>
      </c>
      <c r="R167" s="24">
        <v>43892</v>
      </c>
      <c r="S167" s="233">
        <v>494.42999300000002</v>
      </c>
      <c r="T167" s="28">
        <f t="shared" si="18"/>
        <v>0.1121532834310166</v>
      </c>
      <c r="V167" s="24">
        <v>43892</v>
      </c>
      <c r="W167" s="25">
        <v>127.39473</v>
      </c>
      <c r="X167" s="28">
        <f t="shared" si="19"/>
        <v>6.2877024604810483E-2</v>
      </c>
      <c r="Z167" s="24">
        <v>43892</v>
      </c>
      <c r="AA167" s="27">
        <v>2972.37</v>
      </c>
      <c r="AB167" s="28">
        <f t="shared" si="20"/>
        <v>6.1437536811748128E-3</v>
      </c>
    </row>
    <row r="168" spans="2:28" x14ac:dyDescent="0.35">
      <c r="B168" s="24">
        <v>43899</v>
      </c>
      <c r="C168" s="25">
        <v>178.599548</v>
      </c>
      <c r="D168" s="28">
        <f t="shared" si="14"/>
        <v>-4.0588691112020125E-2</v>
      </c>
      <c r="F168" s="24">
        <v>43899</v>
      </c>
      <c r="G168" s="25">
        <v>71.689887999999996</v>
      </c>
      <c r="H168" s="28">
        <f t="shared" si="15"/>
        <v>-3.8842810520253956E-2</v>
      </c>
      <c r="J168" s="24">
        <v>43899</v>
      </c>
      <c r="K168" s="233">
        <v>47.651535000000003</v>
      </c>
      <c r="L168" s="28">
        <f t="shared" si="16"/>
        <v>-8.8210941506588258E-2</v>
      </c>
      <c r="N168" s="24">
        <v>43899</v>
      </c>
      <c r="O168" s="25">
        <v>26.458126</v>
      </c>
      <c r="P168" s="28">
        <f t="shared" si="17"/>
        <v>-6.5962278442456945E-2</v>
      </c>
      <c r="R168" s="24">
        <v>43899</v>
      </c>
      <c r="S168" s="233">
        <v>465.54998799999998</v>
      </c>
      <c r="T168" s="28">
        <f t="shared" si="18"/>
        <v>-5.8410706083520392E-2</v>
      </c>
      <c r="V168" s="24">
        <v>43899</v>
      </c>
      <c r="W168" s="25">
        <v>120.45227800000001</v>
      </c>
      <c r="X168" s="28">
        <f t="shared" si="19"/>
        <v>-5.4495598051818805E-2</v>
      </c>
      <c r="Z168" s="24">
        <v>43899</v>
      </c>
      <c r="AA168" s="27">
        <v>2711.02</v>
      </c>
      <c r="AB168" s="28">
        <f t="shared" si="20"/>
        <v>-8.7926469450303912E-2</v>
      </c>
    </row>
    <row r="169" spans="2:28" x14ac:dyDescent="0.35">
      <c r="B169" s="24">
        <v>43906</v>
      </c>
      <c r="C169" s="25">
        <v>166.36007699999999</v>
      </c>
      <c r="D169" s="28">
        <f t="shared" si="14"/>
        <v>-6.8530246224363434E-2</v>
      </c>
      <c r="F169" s="24">
        <v>43906</v>
      </c>
      <c r="G169" s="25">
        <v>57.79195</v>
      </c>
      <c r="H169" s="28">
        <f t="shared" si="15"/>
        <v>-0.19386190141627779</v>
      </c>
      <c r="J169" s="24">
        <v>43906</v>
      </c>
      <c r="K169" s="233">
        <v>41.940970999999998</v>
      </c>
      <c r="L169" s="28">
        <f t="shared" si="16"/>
        <v>-0.11984008489967857</v>
      </c>
      <c r="N169" s="24">
        <v>43906</v>
      </c>
      <c r="O169" s="25">
        <v>23.465306999999999</v>
      </c>
      <c r="P169" s="28">
        <f t="shared" si="17"/>
        <v>-0.11311530529410896</v>
      </c>
      <c r="R169" s="24">
        <v>43906</v>
      </c>
      <c r="S169" s="233">
        <v>438.45001200000002</v>
      </c>
      <c r="T169" s="28">
        <f t="shared" si="18"/>
        <v>-5.8210668453502312E-2</v>
      </c>
      <c r="V169" s="24">
        <v>43906</v>
      </c>
      <c r="W169" s="25">
        <v>107.536095</v>
      </c>
      <c r="X169" s="28">
        <f t="shared" si="19"/>
        <v>-0.10723070758362907</v>
      </c>
      <c r="Z169" s="24">
        <v>43906</v>
      </c>
      <c r="AA169" s="27">
        <v>2304.92</v>
      </c>
      <c r="AB169" s="28">
        <f t="shared" si="20"/>
        <v>-0.14979601773502216</v>
      </c>
    </row>
    <row r="170" spans="2:28" x14ac:dyDescent="0.35">
      <c r="B170" s="24">
        <v>43913</v>
      </c>
      <c r="C170" s="25">
        <v>175.21492000000001</v>
      </c>
      <c r="D170" s="28">
        <f t="shared" si="14"/>
        <v>5.3226971035845505E-2</v>
      </c>
      <c r="F170" s="24">
        <v>43913</v>
      </c>
      <c r="G170" s="25">
        <v>61.025008999999997</v>
      </c>
      <c r="H170" s="28">
        <f t="shared" si="15"/>
        <v>5.5943068195484003E-2</v>
      </c>
      <c r="J170" s="24">
        <v>43913</v>
      </c>
      <c r="K170" s="233">
        <v>45.745120999999997</v>
      </c>
      <c r="L170" s="28">
        <f t="shared" si="16"/>
        <v>9.0702478013682697E-2</v>
      </c>
      <c r="N170" s="24">
        <v>43913</v>
      </c>
      <c r="O170" s="25">
        <v>24.994074000000001</v>
      </c>
      <c r="P170" s="28">
        <f t="shared" si="17"/>
        <v>6.5150095841490785E-2</v>
      </c>
      <c r="R170" s="24">
        <v>43913</v>
      </c>
      <c r="S170" s="233">
        <v>449.51998900000001</v>
      </c>
      <c r="T170" s="28">
        <f t="shared" si="18"/>
        <v>2.5247979694433154E-2</v>
      </c>
      <c r="V170" s="24">
        <v>43913</v>
      </c>
      <c r="W170" s="25">
        <v>110.469154</v>
      </c>
      <c r="X170" s="28">
        <f t="shared" si="19"/>
        <v>2.7275111672969032E-2</v>
      </c>
      <c r="Z170" s="24">
        <v>43913</v>
      </c>
      <c r="AA170" s="27">
        <v>2541.4699999999998</v>
      </c>
      <c r="AB170" s="28">
        <f t="shared" si="20"/>
        <v>0.10262829078666491</v>
      </c>
    </row>
    <row r="171" spans="2:28" x14ac:dyDescent="0.35">
      <c r="B171" s="24">
        <v>43920</v>
      </c>
      <c r="C171" s="25">
        <v>181.524643</v>
      </c>
      <c r="D171" s="28">
        <f t="shared" si="14"/>
        <v>3.6011333966308401E-2</v>
      </c>
      <c r="F171" s="24">
        <v>43920</v>
      </c>
      <c r="G171" s="25">
        <v>61.612827000000003</v>
      </c>
      <c r="H171" s="28">
        <f t="shared" si="15"/>
        <v>9.6324115249208919E-3</v>
      </c>
      <c r="J171" s="24">
        <v>43920</v>
      </c>
      <c r="K171" s="233">
        <v>48.119464999999998</v>
      </c>
      <c r="L171" s="28">
        <f t="shared" si="16"/>
        <v>5.1903764775264261E-2</v>
      </c>
      <c r="N171" s="24">
        <v>43920</v>
      </c>
      <c r="O171" s="25">
        <v>27.210373000000001</v>
      </c>
      <c r="P171" s="28">
        <f t="shared" si="17"/>
        <v>8.8672979042952349E-2</v>
      </c>
      <c r="R171" s="24">
        <v>43920</v>
      </c>
      <c r="S171" s="233">
        <v>493.32000699999998</v>
      </c>
      <c r="T171" s="28">
        <f t="shared" si="18"/>
        <v>9.743730884456836E-2</v>
      </c>
      <c r="V171" s="24">
        <v>43920</v>
      </c>
      <c r="W171" s="25">
        <v>120.34462000000001</v>
      </c>
      <c r="X171" s="28">
        <f t="shared" si="19"/>
        <v>8.9395687777241495E-2</v>
      </c>
      <c r="Z171" s="24">
        <v>43920</v>
      </c>
      <c r="AA171" s="27">
        <v>2488.65</v>
      </c>
      <c r="AB171" s="28">
        <f t="shared" si="20"/>
        <v>-2.0783247490625434E-2</v>
      </c>
    </row>
    <row r="172" spans="2:28" x14ac:dyDescent="0.35">
      <c r="B172" s="24">
        <v>43927</v>
      </c>
      <c r="C172" s="25">
        <v>192.836288</v>
      </c>
      <c r="D172" s="28">
        <f t="shared" si="14"/>
        <v>6.2314652231542977E-2</v>
      </c>
      <c r="F172" s="24">
        <v>43927</v>
      </c>
      <c r="G172" s="25">
        <v>66.970473999999996</v>
      </c>
      <c r="H172" s="28">
        <f t="shared" si="15"/>
        <v>8.6956681925989043E-2</v>
      </c>
      <c r="J172" s="24">
        <v>43927</v>
      </c>
      <c r="K172" s="233">
        <v>51.470920999999997</v>
      </c>
      <c r="L172" s="28">
        <f t="shared" si="16"/>
        <v>6.9648654655657616E-2</v>
      </c>
      <c r="N172" s="24">
        <v>43927</v>
      </c>
      <c r="O172" s="25">
        <v>28.625896000000001</v>
      </c>
      <c r="P172" s="28">
        <f t="shared" si="17"/>
        <v>5.2021447850053359E-2</v>
      </c>
      <c r="R172" s="24">
        <v>43927</v>
      </c>
      <c r="S172" s="233">
        <v>512.96002199999998</v>
      </c>
      <c r="T172" s="28">
        <f t="shared" si="18"/>
        <v>3.9811916649064694E-2</v>
      </c>
      <c r="V172" s="24">
        <v>43927</v>
      </c>
      <c r="W172" s="25">
        <v>126.677155</v>
      </c>
      <c r="X172" s="28">
        <f t="shared" si="19"/>
        <v>5.2620009103855114E-2</v>
      </c>
      <c r="Z172" s="24">
        <v>43927</v>
      </c>
      <c r="AA172" s="27">
        <v>2789.82</v>
      </c>
      <c r="AB172" s="28">
        <f t="shared" si="20"/>
        <v>0.12101741908263519</v>
      </c>
    </row>
    <row r="173" spans="2:28" x14ac:dyDescent="0.35">
      <c r="B173" s="24">
        <v>43934</v>
      </c>
      <c r="C173" s="25">
        <v>207.64738500000001</v>
      </c>
      <c r="D173" s="28">
        <f t="shared" si="14"/>
        <v>7.6806586320516734E-2</v>
      </c>
      <c r="F173" s="24">
        <v>43934</v>
      </c>
      <c r="G173" s="25">
        <v>70.077567999999999</v>
      </c>
      <c r="H173" s="28">
        <f t="shared" si="15"/>
        <v>4.6394982959206743E-2</v>
      </c>
      <c r="J173" s="24">
        <v>43934</v>
      </c>
      <c r="K173" s="233">
        <v>52.947502</v>
      </c>
      <c r="L173" s="28">
        <f t="shared" si="16"/>
        <v>2.8687673958661009E-2</v>
      </c>
      <c r="N173" s="24">
        <v>43934</v>
      </c>
      <c r="O173" s="25">
        <v>29.855367999999999</v>
      </c>
      <c r="P173" s="28">
        <f t="shared" si="17"/>
        <v>4.2949642519486408E-2</v>
      </c>
      <c r="R173" s="24">
        <v>43934</v>
      </c>
      <c r="S173" s="233">
        <v>568.78997800000002</v>
      </c>
      <c r="T173" s="28">
        <f t="shared" si="18"/>
        <v>0.10883880537575319</v>
      </c>
      <c r="V173" s="24">
        <v>43934</v>
      </c>
      <c r="W173" s="25">
        <v>136.35528600000001</v>
      </c>
      <c r="X173" s="28">
        <f t="shared" si="19"/>
        <v>7.6399971249749177E-2</v>
      </c>
      <c r="Z173" s="24">
        <v>43934</v>
      </c>
      <c r="AA173" s="27">
        <v>2874.56</v>
      </c>
      <c r="AB173" s="28">
        <f t="shared" si="20"/>
        <v>3.0374719515954274E-2</v>
      </c>
    </row>
    <row r="174" spans="2:28" x14ac:dyDescent="0.35">
      <c r="B174" s="24">
        <v>43941</v>
      </c>
      <c r="C174" s="25">
        <v>208.805069</v>
      </c>
      <c r="D174" s="28">
        <f t="shared" si="14"/>
        <v>5.5752399675055297E-3</v>
      </c>
      <c r="F174" s="24">
        <v>43941</v>
      </c>
      <c r="G174" s="25">
        <v>71.242012000000003</v>
      </c>
      <c r="H174" s="28">
        <f t="shared" si="15"/>
        <v>1.6616501303241549E-2</v>
      </c>
      <c r="J174" s="24">
        <v>43941</v>
      </c>
      <c r="K174" s="233">
        <v>54.389141000000002</v>
      </c>
      <c r="L174" s="28">
        <f t="shared" si="16"/>
        <v>2.7227705662110413E-2</v>
      </c>
      <c r="N174" s="24">
        <v>43941</v>
      </c>
      <c r="O174" s="25">
        <v>30.235548000000001</v>
      </c>
      <c r="P174" s="28">
        <f t="shared" si="17"/>
        <v>1.2734058411204341E-2</v>
      </c>
      <c r="R174" s="24">
        <v>43941</v>
      </c>
      <c r="S174" s="233">
        <v>566.21002199999998</v>
      </c>
      <c r="T174" s="28">
        <f t="shared" si="18"/>
        <v>-4.5358675430108297E-3</v>
      </c>
      <c r="V174" s="24">
        <v>43941</v>
      </c>
      <c r="W174" s="25">
        <v>138.902649</v>
      </c>
      <c r="X174" s="28">
        <f t="shared" si="19"/>
        <v>1.8681805999072099E-2</v>
      </c>
      <c r="Z174" s="24">
        <v>43941</v>
      </c>
      <c r="AA174" s="27">
        <v>2836.74</v>
      </c>
      <c r="AB174" s="28">
        <f t="shared" si="20"/>
        <v>-1.3156796170544438E-2</v>
      </c>
    </row>
    <row r="175" spans="2:28" x14ac:dyDescent="0.35">
      <c r="B175" s="24">
        <v>43948</v>
      </c>
      <c r="C175" s="25">
        <v>204.12132299999999</v>
      </c>
      <c r="D175" s="28">
        <f t="shared" si="14"/>
        <v>-2.2431189158535259E-2</v>
      </c>
      <c r="F175" s="24">
        <v>43948</v>
      </c>
      <c r="G175" s="25">
        <v>70.602813999999995</v>
      </c>
      <c r="H175" s="28">
        <f t="shared" si="15"/>
        <v>-8.9722058944659011E-3</v>
      </c>
      <c r="J175" s="24">
        <v>43948</v>
      </c>
      <c r="K175" s="233">
        <v>52.650435999999999</v>
      </c>
      <c r="L175" s="28">
        <f t="shared" si="16"/>
        <v>-3.1967870204090976E-2</v>
      </c>
      <c r="N175" s="24">
        <v>43948</v>
      </c>
      <c r="O175" s="25">
        <v>30.445847000000001</v>
      </c>
      <c r="P175" s="28">
        <f t="shared" si="17"/>
        <v>6.955355993547796E-3</v>
      </c>
      <c r="R175" s="24">
        <v>43948</v>
      </c>
      <c r="S175" s="233">
        <v>525.5</v>
      </c>
      <c r="T175" s="28">
        <f t="shared" si="18"/>
        <v>-7.1899154762753326E-2</v>
      </c>
      <c r="V175" s="24">
        <v>43948</v>
      </c>
      <c r="W175" s="25">
        <v>133.009659</v>
      </c>
      <c r="X175" s="28">
        <f t="shared" si="19"/>
        <v>-4.242532480428074E-2</v>
      </c>
      <c r="Z175" s="24">
        <v>43948</v>
      </c>
      <c r="AA175" s="27">
        <v>2830.71</v>
      </c>
      <c r="AB175" s="28">
        <f t="shared" si="20"/>
        <v>-2.1256794771462584E-3</v>
      </c>
    </row>
    <row r="176" spans="2:28" x14ac:dyDescent="0.35">
      <c r="B176" s="24">
        <v>43955</v>
      </c>
      <c r="C176" s="25">
        <v>207.51483200000001</v>
      </c>
      <c r="D176" s="28">
        <f t="shared" si="14"/>
        <v>1.6624960832730018E-2</v>
      </c>
      <c r="F176" s="24">
        <v>43955</v>
      </c>
      <c r="G176" s="25">
        <v>71.557372999999998</v>
      </c>
      <c r="H176" s="28">
        <f t="shared" si="15"/>
        <v>1.3520126832338386E-2</v>
      </c>
      <c r="J176" s="24">
        <v>43955</v>
      </c>
      <c r="K176" s="233">
        <v>53.340679000000002</v>
      </c>
      <c r="L176" s="28">
        <f t="shared" si="16"/>
        <v>1.3109919925449409E-2</v>
      </c>
      <c r="N176" s="24">
        <v>43955</v>
      </c>
      <c r="O176" s="25">
        <v>30.106127000000001</v>
      </c>
      <c r="P176" s="28">
        <f t="shared" si="17"/>
        <v>-1.1158172081729201E-2</v>
      </c>
      <c r="R176" s="24">
        <v>43955</v>
      </c>
      <c r="S176" s="233">
        <v>563.40002400000003</v>
      </c>
      <c r="T176" s="28">
        <f t="shared" si="18"/>
        <v>7.2121834443387378E-2</v>
      </c>
      <c r="V176" s="24">
        <v>43955</v>
      </c>
      <c r="W176" s="25">
        <v>133.377365</v>
      </c>
      <c r="X176" s="28">
        <f t="shared" si="19"/>
        <v>2.764505997267408E-3</v>
      </c>
      <c r="Z176" s="24">
        <v>43955</v>
      </c>
      <c r="AA176" s="27">
        <v>2929.8</v>
      </c>
      <c r="AB176" s="28">
        <f t="shared" si="20"/>
        <v>3.5005352014159108E-2</v>
      </c>
    </row>
    <row r="177" spans="2:28" x14ac:dyDescent="0.35">
      <c r="B177" s="24">
        <v>43962</v>
      </c>
      <c r="C177" s="25">
        <v>212.269226</v>
      </c>
      <c r="D177" s="28">
        <f t="shared" si="14"/>
        <v>2.2911104493966938E-2</v>
      </c>
      <c r="F177" s="24">
        <v>43962</v>
      </c>
      <c r="G177" s="25">
        <v>77.310242000000002</v>
      </c>
      <c r="H177" s="28">
        <f t="shared" si="15"/>
        <v>8.0395195614573645E-2</v>
      </c>
      <c r="J177" s="24">
        <v>43962</v>
      </c>
      <c r="K177" s="233">
        <v>55.996788000000002</v>
      </c>
      <c r="L177" s="28">
        <f t="shared" si="16"/>
        <v>4.9795185396871222E-2</v>
      </c>
      <c r="N177" s="24">
        <v>43962</v>
      </c>
      <c r="O177" s="25">
        <v>30.847308999999999</v>
      </c>
      <c r="P177" s="28">
        <f t="shared" si="17"/>
        <v>2.4618975399924414E-2</v>
      </c>
      <c r="R177" s="24">
        <v>43962</v>
      </c>
      <c r="S177" s="233">
        <v>576.71997099999999</v>
      </c>
      <c r="T177" s="28">
        <f t="shared" si="18"/>
        <v>2.3642077445136911E-2</v>
      </c>
      <c r="V177" s="24">
        <v>43962</v>
      </c>
      <c r="W177" s="25">
        <v>134.93812600000001</v>
      </c>
      <c r="X177" s="28">
        <f t="shared" si="19"/>
        <v>1.1701843112585264E-2</v>
      </c>
      <c r="Z177" s="24">
        <v>43962</v>
      </c>
      <c r="AA177" s="27">
        <v>2863.7</v>
      </c>
      <c r="AB177" s="28">
        <f t="shared" si="20"/>
        <v>-2.2561266980681394E-2</v>
      </c>
    </row>
    <row r="178" spans="2:28" x14ac:dyDescent="0.35">
      <c r="B178" s="24">
        <v>43969</v>
      </c>
      <c r="C178" s="25">
        <v>201.454849</v>
      </c>
      <c r="D178" s="28">
        <f t="shared" si="14"/>
        <v>-5.0946513556326845E-2</v>
      </c>
      <c r="F178" s="24">
        <v>43969</v>
      </c>
      <c r="G178" s="25">
        <v>78.494918999999996</v>
      </c>
      <c r="H178" s="28">
        <f t="shared" si="15"/>
        <v>1.5323674707938384E-2</v>
      </c>
      <c r="J178" s="24">
        <v>43969</v>
      </c>
      <c r="K178" s="233">
        <v>53.113517999999999</v>
      </c>
      <c r="L178" s="28">
        <f t="shared" si="16"/>
        <v>-5.1489917600273882E-2</v>
      </c>
      <c r="N178" s="24">
        <v>43969</v>
      </c>
      <c r="O178" s="25">
        <v>30.634899000000001</v>
      </c>
      <c r="P178" s="28">
        <f t="shared" si="17"/>
        <v>-6.8858518582609607E-3</v>
      </c>
      <c r="R178" s="24">
        <v>43969</v>
      </c>
      <c r="S178" s="233">
        <v>569.90997300000004</v>
      </c>
      <c r="T178" s="28">
        <f t="shared" si="18"/>
        <v>-1.1808153596955862E-2</v>
      </c>
      <c r="V178" s="24">
        <v>43969</v>
      </c>
      <c r="W178" s="25">
        <v>129.49359100000001</v>
      </c>
      <c r="X178" s="28">
        <f t="shared" si="19"/>
        <v>-4.0348381598244498E-2</v>
      </c>
      <c r="Z178" s="24">
        <v>43969</v>
      </c>
      <c r="AA178" s="27">
        <v>2955.45</v>
      </c>
      <c r="AB178" s="28">
        <f t="shared" si="20"/>
        <v>3.2038970562558999E-2</v>
      </c>
    </row>
    <row r="179" spans="2:28" x14ac:dyDescent="0.35">
      <c r="B179" s="24">
        <v>43976</v>
      </c>
      <c r="C179" s="25">
        <v>204.364182</v>
      </c>
      <c r="D179" s="28">
        <f t="shared" si="14"/>
        <v>1.444161316762349E-2</v>
      </c>
      <c r="F179" s="24">
        <v>43976</v>
      </c>
      <c r="G179" s="25">
        <v>78.980705</v>
      </c>
      <c r="H179" s="28">
        <f t="shared" si="15"/>
        <v>6.1887572621102116E-3</v>
      </c>
      <c r="J179" s="24">
        <v>43976</v>
      </c>
      <c r="K179" s="233">
        <v>52.178631000000003</v>
      </c>
      <c r="L179" s="28">
        <f t="shared" si="16"/>
        <v>-1.7601677222736312E-2</v>
      </c>
      <c r="N179" s="24">
        <v>43976</v>
      </c>
      <c r="O179" s="25">
        <v>31.198587</v>
      </c>
      <c r="P179" s="28">
        <f t="shared" si="17"/>
        <v>1.8400191232881058E-2</v>
      </c>
      <c r="R179" s="24">
        <v>43976</v>
      </c>
      <c r="S179" s="233">
        <v>612.80999799999995</v>
      </c>
      <c r="T179" s="28">
        <f t="shared" si="18"/>
        <v>7.527509086071027E-2</v>
      </c>
      <c r="V179" s="24">
        <v>43976</v>
      </c>
      <c r="W179" s="25">
        <v>134.347137</v>
      </c>
      <c r="X179" s="28">
        <f t="shared" si="19"/>
        <v>3.7480974637578823E-2</v>
      </c>
      <c r="Z179" s="24">
        <v>43976</v>
      </c>
      <c r="AA179" s="27">
        <v>3044.31</v>
      </c>
      <c r="AB179" s="28">
        <f t="shared" si="20"/>
        <v>3.0066487336953829E-2</v>
      </c>
    </row>
    <row r="180" spans="2:28" x14ac:dyDescent="0.35">
      <c r="B180" s="24">
        <v>43983</v>
      </c>
      <c r="C180" s="25">
        <v>200.778671</v>
      </c>
      <c r="D180" s="28">
        <f t="shared" si="14"/>
        <v>-1.7544713388180644E-2</v>
      </c>
      <c r="F180" s="24">
        <v>43983</v>
      </c>
      <c r="G180" s="25">
        <v>79.986419999999995</v>
      </c>
      <c r="H180" s="28">
        <f t="shared" si="15"/>
        <v>1.2733679700630551E-2</v>
      </c>
      <c r="J180" s="24">
        <v>43983</v>
      </c>
      <c r="K180" s="233">
        <v>53.585323000000002</v>
      </c>
      <c r="L180" s="28">
        <f t="shared" si="16"/>
        <v>2.6959158817332796E-2</v>
      </c>
      <c r="N180" s="24">
        <v>43983</v>
      </c>
      <c r="O180" s="25">
        <v>29.401337000000002</v>
      </c>
      <c r="P180" s="28">
        <f t="shared" si="17"/>
        <v>-5.7606775588907255E-2</v>
      </c>
      <c r="R180" s="24">
        <v>43983</v>
      </c>
      <c r="S180" s="233">
        <v>597</v>
      </c>
      <c r="T180" s="28">
        <f t="shared" si="18"/>
        <v>-2.5799184170621103E-2</v>
      </c>
      <c r="V180" s="24">
        <v>43983</v>
      </c>
      <c r="W180" s="25">
        <v>133.03753699999999</v>
      </c>
      <c r="X180" s="28">
        <f t="shared" si="19"/>
        <v>-9.7478817133260787E-3</v>
      </c>
      <c r="Z180" s="24">
        <v>43983</v>
      </c>
      <c r="AA180" s="27">
        <v>3193.93</v>
      </c>
      <c r="AB180" s="28">
        <f t="shared" si="20"/>
        <v>4.9147425853477422E-2</v>
      </c>
    </row>
    <row r="181" spans="2:28" x14ac:dyDescent="0.35">
      <c r="B181" s="24">
        <v>43990</v>
      </c>
      <c r="C181" s="25">
        <v>193.865723</v>
      </c>
      <c r="D181" s="28">
        <f t="shared" si="14"/>
        <v>-3.4430689104421819E-2</v>
      </c>
      <c r="F181" s="24">
        <v>43990</v>
      </c>
      <c r="G181" s="25">
        <v>78.801743000000002</v>
      </c>
      <c r="H181" s="28">
        <f t="shared" si="15"/>
        <v>-1.4810976663288566E-2</v>
      </c>
      <c r="J181" s="24">
        <v>43990</v>
      </c>
      <c r="K181" s="233">
        <v>49.076915999999997</v>
      </c>
      <c r="L181" s="28">
        <f t="shared" si="16"/>
        <v>-8.4135109160394683E-2</v>
      </c>
      <c r="N181" s="24">
        <v>43990</v>
      </c>
      <c r="O181" s="25">
        <v>27.571411000000001</v>
      </c>
      <c r="P181" s="28">
        <f t="shared" si="17"/>
        <v>-6.2239550534725741E-2</v>
      </c>
      <c r="R181" s="24">
        <v>43990</v>
      </c>
      <c r="S181" s="233">
        <v>588.39001499999995</v>
      </c>
      <c r="T181" s="28">
        <f t="shared" si="18"/>
        <v>-1.4422085427135745E-2</v>
      </c>
      <c r="V181" s="24">
        <v>43990</v>
      </c>
      <c r="W181" s="25">
        <v>128.386169</v>
      </c>
      <c r="X181" s="28">
        <f t="shared" si="19"/>
        <v>-3.4962824063707654E-2</v>
      </c>
      <c r="Z181" s="24">
        <v>43990</v>
      </c>
      <c r="AA181" s="27">
        <v>3041.31</v>
      </c>
      <c r="AB181" s="28">
        <f t="shared" si="20"/>
        <v>-4.7784391016709837E-2</v>
      </c>
    </row>
    <row r="182" spans="2:28" x14ac:dyDescent="0.35">
      <c r="B182" s="24">
        <v>43997</v>
      </c>
      <c r="C182" s="25">
        <v>212.37148999999999</v>
      </c>
      <c r="D182" s="28">
        <f t="shared" si="14"/>
        <v>9.5456621797964658E-2</v>
      </c>
      <c r="F182" s="24">
        <v>43997</v>
      </c>
      <c r="G182" s="25">
        <v>82.423935</v>
      </c>
      <c r="H182" s="28">
        <f t="shared" si="15"/>
        <v>4.5965886820549029E-2</v>
      </c>
      <c r="J182" s="24">
        <v>43997</v>
      </c>
      <c r="K182" s="233">
        <v>49.286610000000003</v>
      </c>
      <c r="L182" s="28">
        <f t="shared" si="16"/>
        <v>4.2727623716209973E-3</v>
      </c>
      <c r="N182" s="24">
        <v>43997</v>
      </c>
      <c r="O182" s="25">
        <v>27.301825000000001</v>
      </c>
      <c r="P182" s="28">
        <f t="shared" si="17"/>
        <v>-9.7777368013556298E-3</v>
      </c>
      <c r="R182" s="24">
        <v>43997</v>
      </c>
      <c r="S182" s="233">
        <v>643.919983</v>
      </c>
      <c r="T182" s="28">
        <f t="shared" si="18"/>
        <v>9.4376122273251095E-2</v>
      </c>
      <c r="V182" s="24">
        <v>43997</v>
      </c>
      <c r="W182" s="25">
        <v>129.90351899999999</v>
      </c>
      <c r="X182" s="28">
        <f t="shared" si="19"/>
        <v>1.1818640682393022E-2</v>
      </c>
      <c r="Z182" s="24">
        <v>43997</v>
      </c>
      <c r="AA182" s="27">
        <v>3097.74</v>
      </c>
      <c r="AB182" s="28">
        <f t="shared" si="20"/>
        <v>1.8554504473401234E-2</v>
      </c>
    </row>
    <row r="183" spans="2:28" x14ac:dyDescent="0.35">
      <c r="B183" s="24">
        <v>44004</v>
      </c>
      <c r="C183" s="25">
        <v>207.15780599999999</v>
      </c>
      <c r="D183" s="28">
        <f t="shared" si="14"/>
        <v>-2.4549830111377013E-2</v>
      </c>
      <c r="F183" s="24">
        <v>44004</v>
      </c>
      <c r="G183" s="25">
        <v>81.929587999999995</v>
      </c>
      <c r="H183" s="28">
        <f t="shared" si="15"/>
        <v>-5.9976146491914628E-3</v>
      </c>
      <c r="J183" s="24">
        <v>44004</v>
      </c>
      <c r="K183" s="233">
        <v>50.273913999999998</v>
      </c>
      <c r="L183" s="28">
        <f t="shared" si="16"/>
        <v>2.0031891014618219E-2</v>
      </c>
      <c r="N183" s="24">
        <v>44004</v>
      </c>
      <c r="O183" s="25">
        <v>26.174458999999999</v>
      </c>
      <c r="P183" s="28">
        <f t="shared" si="17"/>
        <v>-4.1292697466195127E-2</v>
      </c>
      <c r="R183" s="24">
        <v>44004</v>
      </c>
      <c r="S183" s="233">
        <v>611.35998500000005</v>
      </c>
      <c r="T183" s="28">
        <f t="shared" si="18"/>
        <v>-5.0565285842355867E-2</v>
      </c>
      <c r="V183" s="24">
        <v>44004</v>
      </c>
      <c r="W183" s="25">
        <v>124.466415</v>
      </c>
      <c r="X183" s="28">
        <f t="shared" si="19"/>
        <v>-4.1854940049776412E-2</v>
      </c>
      <c r="Z183" s="24">
        <v>44004</v>
      </c>
      <c r="AA183" s="27">
        <v>3009.05</v>
      </c>
      <c r="AB183" s="28">
        <f t="shared" si="20"/>
        <v>-2.8630550013880929E-2</v>
      </c>
    </row>
    <row r="184" spans="2:28" x14ac:dyDescent="0.35">
      <c r="B184" s="24">
        <v>44011</v>
      </c>
      <c r="C184" s="25">
        <v>229.75621000000001</v>
      </c>
      <c r="D184" s="28">
        <f t="shared" si="14"/>
        <v>0.10908787091518057</v>
      </c>
      <c r="F184" s="24">
        <v>44011</v>
      </c>
      <c r="G184" s="25">
        <v>84.273360999999994</v>
      </c>
      <c r="H184" s="28">
        <f t="shared" si="15"/>
        <v>2.8607162042606715E-2</v>
      </c>
      <c r="J184" s="24">
        <v>44011</v>
      </c>
      <c r="K184" s="233">
        <v>51.671875</v>
      </c>
      <c r="L184" s="28">
        <f t="shared" si="16"/>
        <v>2.7806886092059724E-2</v>
      </c>
      <c r="N184" s="24">
        <v>44011</v>
      </c>
      <c r="O184" s="25">
        <v>28.192278000000002</v>
      </c>
      <c r="P184" s="28">
        <f t="shared" si="17"/>
        <v>7.7091144462622996E-2</v>
      </c>
      <c r="R184" s="24">
        <v>44011</v>
      </c>
      <c r="S184" s="233">
        <v>622.45001200000002</v>
      </c>
      <c r="T184" s="28">
        <f t="shared" si="18"/>
        <v>1.8139929455801562E-2</v>
      </c>
      <c r="V184" s="24">
        <v>44011</v>
      </c>
      <c r="W184" s="25">
        <v>127.320427</v>
      </c>
      <c r="X184" s="28">
        <f t="shared" si="19"/>
        <v>2.2929976733080837E-2</v>
      </c>
      <c r="Z184" s="24">
        <v>44011</v>
      </c>
      <c r="AA184" s="27">
        <v>3130.01</v>
      </c>
      <c r="AB184" s="28">
        <f t="shared" si="20"/>
        <v>4.0198733819644117E-2</v>
      </c>
    </row>
    <row r="185" spans="2:28" x14ac:dyDescent="0.35">
      <c r="B185" s="24">
        <v>44018</v>
      </c>
      <c r="C185" s="25">
        <v>221.57093800000001</v>
      </c>
      <c r="D185" s="28">
        <f t="shared" si="14"/>
        <v>-3.5625901036581364E-2</v>
      </c>
      <c r="F185" s="24">
        <v>44018</v>
      </c>
      <c r="G185" s="25">
        <v>82.526199000000005</v>
      </c>
      <c r="H185" s="28">
        <f t="shared" si="15"/>
        <v>-2.0732079262864467E-2</v>
      </c>
      <c r="J185" s="24">
        <v>44018</v>
      </c>
      <c r="K185" s="233">
        <v>50.560645999999998</v>
      </c>
      <c r="L185" s="28">
        <f t="shared" si="16"/>
        <v>-2.1505490172361696E-2</v>
      </c>
      <c r="N185" s="24">
        <v>44018</v>
      </c>
      <c r="O185" s="25">
        <v>27.636766000000001</v>
      </c>
      <c r="P185" s="28">
        <f t="shared" si="17"/>
        <v>-1.9704402744609717E-2</v>
      </c>
      <c r="R185" s="24">
        <v>44018</v>
      </c>
      <c r="S185" s="233">
        <v>620.85998500000005</v>
      </c>
      <c r="T185" s="28">
        <f t="shared" si="18"/>
        <v>-2.5544653696624176E-3</v>
      </c>
      <c r="V185" s="24">
        <v>44018</v>
      </c>
      <c r="W185" s="25">
        <v>128.58485400000001</v>
      </c>
      <c r="X185" s="28">
        <f t="shared" si="19"/>
        <v>9.9310615727044027E-3</v>
      </c>
      <c r="Z185" s="24">
        <v>44018</v>
      </c>
      <c r="AA185" s="27">
        <v>3185.04</v>
      </c>
      <c r="AB185" s="28">
        <f t="shared" si="20"/>
        <v>1.75814134779122E-2</v>
      </c>
    </row>
    <row r="186" spans="2:28" x14ac:dyDescent="0.35">
      <c r="B186" s="24">
        <v>44025</v>
      </c>
      <c r="C186" s="25">
        <v>229.95193499999999</v>
      </c>
      <c r="D186" s="28">
        <f t="shared" si="14"/>
        <v>3.7825344224520885E-2</v>
      </c>
      <c r="F186" s="24">
        <v>44025</v>
      </c>
      <c r="G186" s="25">
        <v>85.935317999999995</v>
      </c>
      <c r="H186" s="28">
        <f t="shared" si="15"/>
        <v>4.1309536138941727E-2</v>
      </c>
      <c r="J186" s="24">
        <v>44025</v>
      </c>
      <c r="K186" s="233">
        <v>53.166598999999998</v>
      </c>
      <c r="L186" s="28">
        <f t="shared" si="16"/>
        <v>5.1541133394537697E-2</v>
      </c>
      <c r="N186" s="24">
        <v>44025</v>
      </c>
      <c r="O186" s="25">
        <v>29.613734999999998</v>
      </c>
      <c r="P186" s="28">
        <f t="shared" si="17"/>
        <v>7.1534021021127936E-2</v>
      </c>
      <c r="R186" s="24">
        <v>44025</v>
      </c>
      <c r="S186" s="233">
        <v>644.05999799999995</v>
      </c>
      <c r="T186" s="28">
        <f t="shared" si="18"/>
        <v>3.7367544310332512E-2</v>
      </c>
      <c r="V186" s="24">
        <v>44025</v>
      </c>
      <c r="W186" s="25">
        <v>134.889038</v>
      </c>
      <c r="X186" s="28">
        <f t="shared" si="19"/>
        <v>4.9027422778735508E-2</v>
      </c>
      <c r="Z186" s="24">
        <v>44025</v>
      </c>
      <c r="AA186" s="27">
        <v>3224.73</v>
      </c>
      <c r="AB186" s="28">
        <f t="shared" si="20"/>
        <v>1.246138196066604E-2</v>
      </c>
    </row>
    <row r="187" spans="2:28" x14ac:dyDescent="0.35">
      <c r="B187" s="24">
        <v>44032</v>
      </c>
      <c r="C187" s="25">
        <v>220.62788399999999</v>
      </c>
      <c r="D187" s="28">
        <f t="shared" si="14"/>
        <v>-4.0547825788028291E-2</v>
      </c>
      <c r="F187" s="24">
        <v>44032</v>
      </c>
      <c r="G187" s="25">
        <v>83.775002000000001</v>
      </c>
      <c r="H187" s="28">
        <f t="shared" si="15"/>
        <v>-2.513886083484318E-2</v>
      </c>
      <c r="J187" s="24">
        <v>44032</v>
      </c>
      <c r="K187" s="233">
        <v>50.930411999999997</v>
      </c>
      <c r="L187" s="28">
        <f t="shared" si="16"/>
        <v>-4.2059997104573088E-2</v>
      </c>
      <c r="N187" s="24">
        <v>44032</v>
      </c>
      <c r="O187" s="25">
        <v>30.765608</v>
      </c>
      <c r="P187" s="28">
        <f t="shared" si="17"/>
        <v>3.8896579577010426E-2</v>
      </c>
      <c r="R187" s="24">
        <v>44032</v>
      </c>
      <c r="S187" s="233">
        <v>608.94000200000005</v>
      </c>
      <c r="T187" s="28">
        <f t="shared" si="18"/>
        <v>-5.452907510023608E-2</v>
      </c>
      <c r="V187" s="24">
        <v>44032</v>
      </c>
      <c r="W187" s="25">
        <v>133.77815200000001</v>
      </c>
      <c r="X187" s="28">
        <f t="shared" si="19"/>
        <v>-8.2355543228056494E-3</v>
      </c>
      <c r="Z187" s="24">
        <v>44032</v>
      </c>
      <c r="AA187" s="27">
        <v>3215.63</v>
      </c>
      <c r="AB187" s="28">
        <f t="shared" si="20"/>
        <v>-2.8219416819392773E-3</v>
      </c>
    </row>
    <row r="188" spans="2:28" x14ac:dyDescent="0.35">
      <c r="B188" s="24">
        <v>44039</v>
      </c>
      <c r="C188" s="25">
        <v>217.68301400000001</v>
      </c>
      <c r="D188" s="28">
        <f t="shared" si="14"/>
        <v>-1.334767821097349E-2</v>
      </c>
      <c r="F188" s="24">
        <v>44039</v>
      </c>
      <c r="G188" s="25">
        <v>81.877112999999994</v>
      </c>
      <c r="H188" s="28">
        <f t="shared" si="15"/>
        <v>-2.2654598086431665E-2</v>
      </c>
      <c r="J188" s="24">
        <v>44039</v>
      </c>
      <c r="K188" s="233">
        <v>51.643520000000002</v>
      </c>
      <c r="L188" s="28">
        <f t="shared" si="16"/>
        <v>1.4001614595224643E-2</v>
      </c>
      <c r="N188" s="24">
        <v>44039</v>
      </c>
      <c r="O188" s="25">
        <v>31.435497000000002</v>
      </c>
      <c r="P188" s="28">
        <f t="shared" si="17"/>
        <v>2.1773956165598962E-2</v>
      </c>
      <c r="R188" s="24">
        <v>44039</v>
      </c>
      <c r="S188" s="233">
        <v>632.07000700000003</v>
      </c>
      <c r="T188" s="28">
        <f t="shared" si="18"/>
        <v>3.7984045922474952E-2</v>
      </c>
      <c r="V188" s="24">
        <v>44039</v>
      </c>
      <c r="W188" s="25">
        <v>131.646637</v>
      </c>
      <c r="X188" s="28">
        <f t="shared" si="19"/>
        <v>-1.593320709049717E-2</v>
      </c>
      <c r="Z188" s="24">
        <v>44039</v>
      </c>
      <c r="AA188" s="27">
        <v>3271.12</v>
      </c>
      <c r="AB188" s="28">
        <f t="shared" si="20"/>
        <v>1.7256338571290719E-2</v>
      </c>
    </row>
    <row r="189" spans="2:28" x14ac:dyDescent="0.35">
      <c r="B189" s="24">
        <v>44046</v>
      </c>
      <c r="C189" s="25">
        <v>214.14196799999999</v>
      </c>
      <c r="D189" s="28">
        <f t="shared" si="14"/>
        <v>-1.6266983513927413E-2</v>
      </c>
      <c r="F189" s="24">
        <v>44046</v>
      </c>
      <c r="G189" s="25">
        <v>80.160362000000006</v>
      </c>
      <c r="H189" s="28">
        <f t="shared" si="15"/>
        <v>-2.0967410025802824E-2</v>
      </c>
      <c r="J189" s="24">
        <v>44046</v>
      </c>
      <c r="K189" s="233">
        <v>53.721237000000002</v>
      </c>
      <c r="L189" s="28">
        <f t="shared" si="16"/>
        <v>4.0231901311142293E-2</v>
      </c>
      <c r="N189" s="24">
        <v>44046</v>
      </c>
      <c r="O189" s="25">
        <v>31.717988999999999</v>
      </c>
      <c r="P189" s="28">
        <f t="shared" si="17"/>
        <v>8.9864015828984289E-3</v>
      </c>
      <c r="R189" s="24">
        <v>44046</v>
      </c>
      <c r="S189" s="233">
        <v>620.21002199999998</v>
      </c>
      <c r="T189" s="28">
        <f t="shared" si="18"/>
        <v>-1.8763720582615884E-2</v>
      </c>
      <c r="V189" s="24">
        <v>44046</v>
      </c>
      <c r="W189" s="25">
        <v>134.21168499999999</v>
      </c>
      <c r="X189" s="28">
        <f t="shared" si="19"/>
        <v>1.9484341252105075E-2</v>
      </c>
      <c r="Z189" s="24">
        <v>44046</v>
      </c>
      <c r="AA189" s="27">
        <v>3351.28</v>
      </c>
      <c r="AB189" s="28">
        <f t="shared" si="20"/>
        <v>2.4505368191934274E-2</v>
      </c>
    </row>
    <row r="190" spans="2:28" x14ac:dyDescent="0.35">
      <c r="B190" s="24">
        <v>44053</v>
      </c>
      <c r="C190" s="25">
        <v>213.270081</v>
      </c>
      <c r="D190" s="28">
        <f t="shared" si="14"/>
        <v>-4.0715372523334459E-3</v>
      </c>
      <c r="F190" s="24">
        <v>44053</v>
      </c>
      <c r="G190" s="25">
        <v>82.015129000000002</v>
      </c>
      <c r="H190" s="28">
        <f t="shared" si="15"/>
        <v>2.3138206386842386E-2</v>
      </c>
      <c r="J190" s="24">
        <v>44053</v>
      </c>
      <c r="K190" s="233">
        <v>55.605266999999998</v>
      </c>
      <c r="L190" s="28">
        <f t="shared" si="16"/>
        <v>3.5070488045537695E-2</v>
      </c>
      <c r="N190" s="24">
        <v>44053</v>
      </c>
      <c r="O190" s="25">
        <v>31.396273000000001</v>
      </c>
      <c r="P190" s="28">
        <f t="shared" si="17"/>
        <v>-1.01430137957359E-2</v>
      </c>
      <c r="R190" s="24">
        <v>44053</v>
      </c>
      <c r="S190" s="233">
        <v>612.57000700000003</v>
      </c>
      <c r="T190" s="28">
        <f t="shared" si="18"/>
        <v>-1.2318432029464921E-2</v>
      </c>
      <c r="V190" s="24">
        <v>44053</v>
      </c>
      <c r="W190" s="25">
        <v>133.88653600000001</v>
      </c>
      <c r="X190" s="28">
        <f t="shared" si="19"/>
        <v>-2.4226579079159594E-3</v>
      </c>
      <c r="Z190" s="24">
        <v>44053</v>
      </c>
      <c r="AA190" s="27">
        <v>3372.85</v>
      </c>
      <c r="AB190" s="28">
        <f t="shared" si="20"/>
        <v>6.4363467093169202E-3</v>
      </c>
    </row>
    <row r="191" spans="2:28" x14ac:dyDescent="0.35">
      <c r="B191" s="24">
        <v>44060</v>
      </c>
      <c r="C191" s="25">
        <v>212.84463500000001</v>
      </c>
      <c r="D191" s="28">
        <f t="shared" si="14"/>
        <v>-1.9948695944838057E-3</v>
      </c>
      <c r="F191" s="24">
        <v>44060</v>
      </c>
      <c r="G191" s="25">
        <v>81.833954000000006</v>
      </c>
      <c r="H191" s="28">
        <f t="shared" si="15"/>
        <v>-2.2090436509585309E-3</v>
      </c>
      <c r="J191" s="24">
        <v>44060</v>
      </c>
      <c r="K191" s="233">
        <v>54.751289</v>
      </c>
      <c r="L191" s="28">
        <f t="shared" si="16"/>
        <v>-1.535786169320974E-2</v>
      </c>
      <c r="N191" s="24">
        <v>44060</v>
      </c>
      <c r="O191" s="25">
        <v>32.072704000000002</v>
      </c>
      <c r="P191" s="28">
        <f t="shared" si="17"/>
        <v>2.1544945796591941E-2</v>
      </c>
      <c r="R191" s="24">
        <v>44060</v>
      </c>
      <c r="S191" s="233">
        <v>605.48999000000003</v>
      </c>
      <c r="T191" s="28">
        <f t="shared" si="18"/>
        <v>-1.1557890394721881E-2</v>
      </c>
      <c r="V191" s="24">
        <v>44060</v>
      </c>
      <c r="W191" s="25">
        <v>137.968887</v>
      </c>
      <c r="X191" s="28">
        <f t="shared" si="19"/>
        <v>3.0491124215806131E-2</v>
      </c>
      <c r="Z191" s="24">
        <v>44060</v>
      </c>
      <c r="AA191" s="27">
        <v>3397.16</v>
      </c>
      <c r="AB191" s="28">
        <f t="shared" si="20"/>
        <v>7.2075544420890925E-3</v>
      </c>
    </row>
    <row r="192" spans="2:28" x14ac:dyDescent="0.35">
      <c r="B192" s="24">
        <v>44067</v>
      </c>
      <c r="C192" s="25">
        <v>226.70942700000001</v>
      </c>
      <c r="D192" s="28">
        <f t="shared" si="14"/>
        <v>6.5140434477007014E-2</v>
      </c>
      <c r="F192" s="24">
        <v>44067</v>
      </c>
      <c r="G192" s="25">
        <v>81.238708000000003</v>
      </c>
      <c r="H192" s="28">
        <f t="shared" si="15"/>
        <v>-7.2738267052329109E-3</v>
      </c>
      <c r="J192" s="24">
        <v>44067</v>
      </c>
      <c r="K192" s="233">
        <v>54.909762999999998</v>
      </c>
      <c r="L192" s="28">
        <f t="shared" si="16"/>
        <v>2.8944341383450034E-3</v>
      </c>
      <c r="N192" s="24">
        <v>44067</v>
      </c>
      <c r="O192" s="25">
        <v>31.272532000000002</v>
      </c>
      <c r="P192" s="28">
        <f t="shared" si="17"/>
        <v>-2.4948691572746706E-2</v>
      </c>
      <c r="R192" s="24">
        <v>44067</v>
      </c>
      <c r="S192" s="233">
        <v>602.60998500000005</v>
      </c>
      <c r="T192" s="28">
        <f t="shared" si="18"/>
        <v>-4.7564865605788098E-3</v>
      </c>
      <c r="V192" s="24">
        <v>44067</v>
      </c>
      <c r="W192" s="25">
        <v>138.76365699999999</v>
      </c>
      <c r="X192" s="28">
        <f t="shared" si="19"/>
        <v>5.7605016412143328E-3</v>
      </c>
      <c r="Z192" s="24">
        <v>44067</v>
      </c>
      <c r="AA192" s="27">
        <v>3508.01</v>
      </c>
      <c r="AB192" s="28">
        <f t="shared" si="20"/>
        <v>3.2630196988072457E-2</v>
      </c>
    </row>
    <row r="193" spans="2:28" x14ac:dyDescent="0.35">
      <c r="B193" s="24">
        <v>44074</v>
      </c>
      <c r="C193" s="25">
        <v>222.481964</v>
      </c>
      <c r="D193" s="28">
        <f t="shared" si="14"/>
        <v>-1.8647054319448353E-2</v>
      </c>
      <c r="F193" s="24">
        <v>44074</v>
      </c>
      <c r="G193" s="25">
        <v>79.254554999999996</v>
      </c>
      <c r="H193" s="28">
        <f t="shared" si="15"/>
        <v>-2.4423738989054367E-2</v>
      </c>
      <c r="J193" s="24">
        <v>44074</v>
      </c>
      <c r="K193" s="233">
        <v>52.779223999999999</v>
      </c>
      <c r="L193" s="28">
        <f t="shared" si="16"/>
        <v>-3.8800732030112695E-2</v>
      </c>
      <c r="N193" s="24">
        <v>44074</v>
      </c>
      <c r="O193" s="25">
        <v>29.993917</v>
      </c>
      <c r="P193" s="28">
        <f t="shared" si="17"/>
        <v>-4.088620006848187E-2</v>
      </c>
      <c r="R193" s="24">
        <v>44074</v>
      </c>
      <c r="S193" s="233">
        <v>580.35998500000005</v>
      </c>
      <c r="T193" s="28">
        <f t="shared" si="18"/>
        <v>-3.6922720422563171E-2</v>
      </c>
      <c r="V193" s="24">
        <v>44074</v>
      </c>
      <c r="W193" s="25">
        <v>135.095856</v>
      </c>
      <c r="X193" s="28">
        <f t="shared" si="19"/>
        <v>-2.6432000130985234E-2</v>
      </c>
      <c r="Z193" s="24">
        <v>44074</v>
      </c>
      <c r="AA193" s="27">
        <v>3426.96</v>
      </c>
      <c r="AB193" s="28">
        <f t="shared" si="20"/>
        <v>-2.3104267091598962E-2</v>
      </c>
    </row>
    <row r="194" spans="2:28" x14ac:dyDescent="0.35">
      <c r="B194" s="24">
        <v>44081</v>
      </c>
      <c r="C194" s="25">
        <v>217.83348100000001</v>
      </c>
      <c r="D194" s="28">
        <f t="shared" si="14"/>
        <v>-2.0893752088596229E-2</v>
      </c>
      <c r="F194" s="24">
        <v>44081</v>
      </c>
      <c r="G194" s="25">
        <v>77.382530000000003</v>
      </c>
      <c r="H194" s="28">
        <f t="shared" si="15"/>
        <v>-2.3620408946842142E-2</v>
      </c>
      <c r="J194" s="24">
        <v>44081</v>
      </c>
      <c r="K194" s="233">
        <v>51.934052000000001</v>
      </c>
      <c r="L194" s="28">
        <f t="shared" si="16"/>
        <v>-1.6013346463752409E-2</v>
      </c>
      <c r="N194" s="24">
        <v>44081</v>
      </c>
      <c r="O194" s="25">
        <v>29.754686</v>
      </c>
      <c r="P194" s="28">
        <f t="shared" si="17"/>
        <v>-7.9759839303416014E-3</v>
      </c>
      <c r="R194" s="24">
        <v>44081</v>
      </c>
      <c r="S194" s="233">
        <v>544.75</v>
      </c>
      <c r="T194" s="28">
        <f t="shared" si="18"/>
        <v>-6.1358442898160948E-2</v>
      </c>
      <c r="V194" s="24">
        <v>44081</v>
      </c>
      <c r="W194" s="25">
        <v>134.35938999999999</v>
      </c>
      <c r="X194" s="28">
        <f t="shared" si="19"/>
        <v>-5.4514329440276121E-3</v>
      </c>
      <c r="Z194" s="24">
        <v>44081</v>
      </c>
      <c r="AA194" s="27">
        <v>3340.97</v>
      </c>
      <c r="AB194" s="28">
        <f t="shared" si="20"/>
        <v>-2.5092210005369209E-2</v>
      </c>
    </row>
    <row r="195" spans="2:28" x14ac:dyDescent="0.35">
      <c r="B195" s="24">
        <v>44088</v>
      </c>
      <c r="C195" s="25">
        <v>221.87292500000001</v>
      </c>
      <c r="D195" s="28">
        <f t="shared" si="14"/>
        <v>1.8543724231262715E-2</v>
      </c>
      <c r="F195" s="24">
        <v>44088</v>
      </c>
      <c r="G195" s="25">
        <v>77.736228999999994</v>
      </c>
      <c r="H195" s="28">
        <f t="shared" si="15"/>
        <v>4.5707861968327101E-3</v>
      </c>
      <c r="J195" s="24">
        <v>44088</v>
      </c>
      <c r="K195" s="233">
        <v>52.180557</v>
      </c>
      <c r="L195" s="28">
        <f t="shared" si="16"/>
        <v>4.7465004271185496E-3</v>
      </c>
      <c r="N195" s="24">
        <v>44088</v>
      </c>
      <c r="O195" s="25">
        <v>30.216642</v>
      </c>
      <c r="P195" s="28">
        <f t="shared" si="17"/>
        <v>1.552548731315806E-2</v>
      </c>
      <c r="R195" s="24">
        <v>44088</v>
      </c>
      <c r="S195" s="233">
        <v>555.23999000000003</v>
      </c>
      <c r="T195" s="28">
        <f t="shared" si="18"/>
        <v>1.9256521340064392E-2</v>
      </c>
      <c r="V195" s="24">
        <v>44088</v>
      </c>
      <c r="W195" s="25">
        <v>135.63227800000001</v>
      </c>
      <c r="X195" s="28">
        <f t="shared" si="19"/>
        <v>9.4737554256536516E-3</v>
      </c>
      <c r="Z195" s="24">
        <v>44088</v>
      </c>
      <c r="AA195" s="27">
        <v>3319.47</v>
      </c>
      <c r="AB195" s="28">
        <f t="shared" si="20"/>
        <v>-6.4352568266102805E-3</v>
      </c>
    </row>
    <row r="196" spans="2:28" x14ac:dyDescent="0.35">
      <c r="B196" s="24">
        <v>44095</v>
      </c>
      <c r="C196" s="25">
        <v>218.37982199999999</v>
      </c>
      <c r="D196" s="28">
        <f t="shared" si="14"/>
        <v>-1.5743710053851889E-2</v>
      </c>
      <c r="F196" s="24">
        <v>44095</v>
      </c>
      <c r="G196" s="25">
        <v>74.389022999999995</v>
      </c>
      <c r="H196" s="28">
        <f t="shared" si="15"/>
        <v>-4.3058507507484078E-2</v>
      </c>
      <c r="J196" s="24">
        <v>44095</v>
      </c>
      <c r="K196" s="233">
        <v>52.374245000000002</v>
      </c>
      <c r="L196" s="28">
        <f t="shared" si="16"/>
        <v>3.7118806531712956E-3</v>
      </c>
      <c r="N196" s="24">
        <v>44095</v>
      </c>
      <c r="O196" s="25">
        <v>29.738189999999999</v>
      </c>
      <c r="P196" s="28">
        <f t="shared" si="17"/>
        <v>-1.5834055948374393E-2</v>
      </c>
      <c r="R196" s="24">
        <v>44095</v>
      </c>
      <c r="S196" s="233">
        <v>574.05999799999995</v>
      </c>
      <c r="T196" s="28">
        <f t="shared" si="18"/>
        <v>3.3895267522067174E-2</v>
      </c>
      <c r="V196" s="24">
        <v>44095</v>
      </c>
      <c r="W196" s="25">
        <v>132.431915</v>
      </c>
      <c r="X196" s="28">
        <f t="shared" si="19"/>
        <v>-2.3595880325773311E-2</v>
      </c>
      <c r="Z196" s="24">
        <v>44095</v>
      </c>
      <c r="AA196" s="27">
        <v>3298.46</v>
      </c>
      <c r="AB196" s="28">
        <f t="shared" si="20"/>
        <v>-6.3293236570897138E-3</v>
      </c>
    </row>
    <row r="197" spans="2:28" x14ac:dyDescent="0.35">
      <c r="B197" s="24">
        <v>44102</v>
      </c>
      <c r="C197" s="25">
        <v>219.80392499999999</v>
      </c>
      <c r="D197" s="28">
        <f t="shared" si="14"/>
        <v>6.5212206281586305E-3</v>
      </c>
      <c r="F197" s="24">
        <v>44102</v>
      </c>
      <c r="G197" s="25">
        <v>74.294128000000001</v>
      </c>
      <c r="H197" s="28">
        <f t="shared" si="15"/>
        <v>-1.2756586411948323E-3</v>
      </c>
      <c r="J197" s="24">
        <v>44102</v>
      </c>
      <c r="K197" s="233">
        <v>51.696353999999999</v>
      </c>
      <c r="L197" s="28">
        <f t="shared" si="16"/>
        <v>-1.2943212832948747E-2</v>
      </c>
      <c r="N197" s="24">
        <v>44102</v>
      </c>
      <c r="O197" s="25">
        <v>30.010415999999999</v>
      </c>
      <c r="P197" s="28">
        <f t="shared" si="17"/>
        <v>9.1540877235636309E-3</v>
      </c>
      <c r="R197" s="24">
        <v>44102</v>
      </c>
      <c r="S197" s="233">
        <v>564.79998799999998</v>
      </c>
      <c r="T197" s="28">
        <f t="shared" si="18"/>
        <v>-1.6130735519390704E-2</v>
      </c>
      <c r="V197" s="24">
        <v>44102</v>
      </c>
      <c r="W197" s="25">
        <v>132.959259</v>
      </c>
      <c r="X197" s="28">
        <f t="shared" si="19"/>
        <v>3.9820008643687288E-3</v>
      </c>
      <c r="Z197" s="24">
        <v>44102</v>
      </c>
      <c r="AA197" s="27">
        <v>3348.42</v>
      </c>
      <c r="AB197" s="28">
        <f t="shared" si="20"/>
        <v>1.5146462288461837E-2</v>
      </c>
    </row>
    <row r="198" spans="2:28" x14ac:dyDescent="0.35">
      <c r="B198" s="24">
        <v>44109</v>
      </c>
      <c r="C198" s="25">
        <v>212.00273100000001</v>
      </c>
      <c r="D198" s="28">
        <f t="shared" si="14"/>
        <v>-3.5491604619890094E-2</v>
      </c>
      <c r="F198" s="24">
        <v>44109</v>
      </c>
      <c r="G198" s="25">
        <v>75.657157999999995</v>
      </c>
      <c r="H198" s="28">
        <f t="shared" si="15"/>
        <v>1.8346402827421171E-2</v>
      </c>
      <c r="J198" s="24">
        <v>44109</v>
      </c>
      <c r="K198" s="233">
        <v>54.834839000000002</v>
      </c>
      <c r="L198" s="28">
        <f t="shared" si="16"/>
        <v>6.0709987400658916E-2</v>
      </c>
      <c r="N198" s="24">
        <v>44109</v>
      </c>
      <c r="O198" s="25">
        <v>30.348628999999999</v>
      </c>
      <c r="P198" s="28">
        <f t="shared" si="17"/>
        <v>1.1269853773436589E-2</v>
      </c>
      <c r="R198" s="24">
        <v>44109</v>
      </c>
      <c r="S198" s="233">
        <v>602.07000700000003</v>
      </c>
      <c r="T198" s="28">
        <f t="shared" si="18"/>
        <v>6.5987995382181364E-2</v>
      </c>
      <c r="V198" s="24">
        <v>44109</v>
      </c>
      <c r="W198" s="25">
        <v>137.259705</v>
      </c>
      <c r="X198" s="28">
        <f t="shared" si="19"/>
        <v>3.234408819922785E-2</v>
      </c>
      <c r="Z198" s="24">
        <v>44109</v>
      </c>
      <c r="AA198" s="27">
        <v>3477.14</v>
      </c>
      <c r="AB198" s="28">
        <f t="shared" si="20"/>
        <v>3.844201145614945E-2</v>
      </c>
    </row>
    <row r="199" spans="2:28" x14ac:dyDescent="0.35">
      <c r="B199" s="24">
        <v>44116</v>
      </c>
      <c r="C199" s="25">
        <v>211.12498500000001</v>
      </c>
      <c r="D199" s="28">
        <f t="shared" si="14"/>
        <v>-4.1402579856388844E-3</v>
      </c>
      <c r="F199" s="24">
        <v>44116</v>
      </c>
      <c r="G199" s="25">
        <v>74.423537999999994</v>
      </c>
      <c r="H199" s="28">
        <f t="shared" si="15"/>
        <v>-1.6305397038572367E-2</v>
      </c>
      <c r="J199" s="24">
        <v>44116</v>
      </c>
      <c r="K199" s="233">
        <v>54.320366</v>
      </c>
      <c r="L199" s="28">
        <f t="shared" si="16"/>
        <v>-9.3822286958844536E-3</v>
      </c>
      <c r="N199" s="24">
        <v>44116</v>
      </c>
      <c r="O199" s="25">
        <v>31.305529</v>
      </c>
      <c r="P199" s="28">
        <f t="shared" si="17"/>
        <v>3.153025462863579E-2</v>
      </c>
      <c r="R199" s="24">
        <v>44116</v>
      </c>
      <c r="S199" s="233">
        <v>599.73999000000003</v>
      </c>
      <c r="T199" s="28">
        <f t="shared" si="18"/>
        <v>-3.8700100867173903E-3</v>
      </c>
      <c r="V199" s="24">
        <v>44116</v>
      </c>
      <c r="W199" s="25">
        <v>134.650375</v>
      </c>
      <c r="X199" s="28">
        <f t="shared" si="19"/>
        <v>-1.9010167623484286E-2</v>
      </c>
      <c r="Z199" s="24">
        <v>44116</v>
      </c>
      <c r="AA199" s="27">
        <v>3483.81</v>
      </c>
      <c r="AB199" s="28">
        <f t="shared" si="20"/>
        <v>1.9182431538562472E-3</v>
      </c>
    </row>
    <row r="200" spans="2:28" x14ac:dyDescent="0.35">
      <c r="B200" s="24">
        <v>44123</v>
      </c>
      <c r="C200" s="25">
        <v>203.45813000000001</v>
      </c>
      <c r="D200" s="28">
        <f t="shared" si="14"/>
        <v>-3.6314295060814294E-2</v>
      </c>
      <c r="F200" s="24">
        <v>44123</v>
      </c>
      <c r="G200" s="25">
        <v>73.749374000000003</v>
      </c>
      <c r="H200" s="28">
        <f t="shared" si="15"/>
        <v>-9.0584782464923075E-3</v>
      </c>
      <c r="J200" s="24">
        <v>44123</v>
      </c>
      <c r="K200" s="233">
        <v>53.335796000000002</v>
      </c>
      <c r="L200" s="28">
        <f t="shared" si="16"/>
        <v>-1.8125246063327327E-2</v>
      </c>
      <c r="N200" s="24">
        <v>44123</v>
      </c>
      <c r="O200" s="25">
        <v>31.495256000000001</v>
      </c>
      <c r="P200" s="28">
        <f t="shared" si="17"/>
        <v>6.0604949368527894E-3</v>
      </c>
      <c r="R200" s="24">
        <v>44123</v>
      </c>
      <c r="S200" s="233">
        <v>579.80999799999995</v>
      </c>
      <c r="T200" s="28">
        <f t="shared" si="18"/>
        <v>-3.3231054010589012E-2</v>
      </c>
      <c r="V200" s="24">
        <v>44123</v>
      </c>
      <c r="W200" s="25">
        <v>132.05010999999999</v>
      </c>
      <c r="X200" s="28">
        <f t="shared" si="19"/>
        <v>-1.9311234744054828E-2</v>
      </c>
      <c r="Z200" s="24">
        <v>44123</v>
      </c>
      <c r="AA200" s="27">
        <v>3465.39</v>
      </c>
      <c r="AB200" s="28">
        <f t="shared" si="20"/>
        <v>-5.2873147502303652E-3</v>
      </c>
    </row>
    <row r="201" spans="2:28" x14ac:dyDescent="0.35">
      <c r="B201" s="24">
        <v>44130</v>
      </c>
      <c r="C201" s="25">
        <v>194.30448899999999</v>
      </c>
      <c r="D201" s="28">
        <f t="shared" si="14"/>
        <v>-4.4990293580305818E-2</v>
      </c>
      <c r="F201" s="24">
        <v>44130</v>
      </c>
      <c r="G201" s="25">
        <v>74.413955999999999</v>
      </c>
      <c r="H201" s="28">
        <f t="shared" si="15"/>
        <v>9.0113578455595089E-3</v>
      </c>
      <c r="J201" s="24">
        <v>44130</v>
      </c>
      <c r="K201" s="233">
        <v>51.845615000000002</v>
      </c>
      <c r="L201" s="28">
        <f t="shared" si="16"/>
        <v>-2.7939603638801991E-2</v>
      </c>
      <c r="N201" s="24">
        <v>44130</v>
      </c>
      <c r="O201" s="25">
        <v>29.267987999999999</v>
      </c>
      <c r="P201" s="28">
        <f t="shared" si="17"/>
        <v>-7.0717570925602269E-2</v>
      </c>
      <c r="R201" s="24">
        <v>44130</v>
      </c>
      <c r="S201" s="233">
        <v>543.55999799999995</v>
      </c>
      <c r="T201" s="28">
        <f t="shared" si="18"/>
        <v>-6.2520481062832589E-2</v>
      </c>
      <c r="V201" s="24">
        <v>44130</v>
      </c>
      <c r="W201" s="25">
        <v>124.658401</v>
      </c>
      <c r="X201" s="28">
        <f t="shared" si="19"/>
        <v>-5.5976545570465608E-2</v>
      </c>
      <c r="Z201" s="24">
        <v>44130</v>
      </c>
      <c r="AA201" s="27">
        <v>3269.96</v>
      </c>
      <c r="AB201" s="28">
        <f t="shared" si="20"/>
        <v>-5.6394806933707242E-2</v>
      </c>
    </row>
    <row r="202" spans="2:28" x14ac:dyDescent="0.35">
      <c r="B202" s="24">
        <v>44137</v>
      </c>
      <c r="C202" s="25">
        <v>207.49754300000001</v>
      </c>
      <c r="D202" s="28">
        <f t="shared" si="14"/>
        <v>6.7898863623269134E-2</v>
      </c>
      <c r="F202" s="24">
        <v>44137</v>
      </c>
      <c r="G202" s="25">
        <v>81.190758000000002</v>
      </c>
      <c r="H202" s="28">
        <f t="shared" si="15"/>
        <v>9.1068965611773134E-2</v>
      </c>
      <c r="J202" s="24">
        <v>44137</v>
      </c>
      <c r="K202" s="233">
        <v>56.591106000000003</v>
      </c>
      <c r="L202" s="28">
        <f t="shared" si="16"/>
        <v>9.1531193139477773E-2</v>
      </c>
      <c r="N202" s="24">
        <v>44137</v>
      </c>
      <c r="O202" s="25">
        <v>30.026904999999999</v>
      </c>
      <c r="P202" s="28">
        <f t="shared" si="17"/>
        <v>2.5929934097280727E-2</v>
      </c>
      <c r="R202" s="24">
        <v>44137</v>
      </c>
      <c r="S202" s="233">
        <v>578.03002900000001</v>
      </c>
      <c r="T202" s="28">
        <f t="shared" si="18"/>
        <v>6.3415319609299248E-2</v>
      </c>
      <c r="V202" s="24">
        <v>44137</v>
      </c>
      <c r="W202" s="25">
        <v>129.33163500000001</v>
      </c>
      <c r="X202" s="28">
        <f t="shared" si="19"/>
        <v>3.7488319780389245E-2</v>
      </c>
      <c r="Z202" s="24">
        <v>44137</v>
      </c>
      <c r="AA202" s="27">
        <v>3509.44</v>
      </c>
      <c r="AB202" s="28">
        <f t="shared" si="20"/>
        <v>7.3236369863851625E-2</v>
      </c>
    </row>
    <row r="203" spans="2:28" x14ac:dyDescent="0.35">
      <c r="B203" s="24">
        <v>44144</v>
      </c>
      <c r="C203" s="25">
        <v>212.593842</v>
      </c>
      <c r="D203" s="28">
        <f t="shared" si="14"/>
        <v>2.4560767931599115E-2</v>
      </c>
      <c r="F203" s="24">
        <v>44144</v>
      </c>
      <c r="G203" s="25">
        <v>86.603515999999999</v>
      </c>
      <c r="H203" s="28">
        <f t="shared" si="15"/>
        <v>6.6667169186916508E-2</v>
      </c>
      <c r="J203" s="24">
        <v>44144</v>
      </c>
      <c r="K203" s="233">
        <v>56.431449999999998</v>
      </c>
      <c r="L203" s="28">
        <f t="shared" si="16"/>
        <v>-2.8212207055999805E-3</v>
      </c>
      <c r="N203" s="24">
        <v>44144</v>
      </c>
      <c r="O203" s="25">
        <v>32.185856000000001</v>
      </c>
      <c r="P203" s="28">
        <f t="shared" si="17"/>
        <v>7.190055052293931E-2</v>
      </c>
      <c r="R203" s="24">
        <v>44144</v>
      </c>
      <c r="S203" s="233">
        <v>566.42999299999997</v>
      </c>
      <c r="T203" s="28">
        <f t="shared" si="18"/>
        <v>-2.0068223825790321E-2</v>
      </c>
      <c r="V203" s="24">
        <v>44144</v>
      </c>
      <c r="W203" s="25">
        <v>136.28688</v>
      </c>
      <c r="X203" s="28">
        <f t="shared" si="19"/>
        <v>5.3778373713438299E-2</v>
      </c>
      <c r="Z203" s="24">
        <v>44144</v>
      </c>
      <c r="AA203" s="27">
        <v>3585.15</v>
      </c>
      <c r="AB203" s="28">
        <f t="shared" si="20"/>
        <v>2.1573242454636654E-2</v>
      </c>
    </row>
    <row r="204" spans="2:28" x14ac:dyDescent="0.35">
      <c r="B204" s="24">
        <v>44151</v>
      </c>
      <c r="C204" s="25">
        <v>201.242233</v>
      </c>
      <c r="D204" s="28">
        <f t="shared" si="14"/>
        <v>-5.3395756402012773E-2</v>
      </c>
      <c r="F204" s="24">
        <v>44151</v>
      </c>
      <c r="G204" s="25">
        <v>88.177466999999993</v>
      </c>
      <c r="H204" s="28">
        <f t="shared" si="15"/>
        <v>1.8174215929062099E-2</v>
      </c>
      <c r="J204" s="24">
        <v>44151</v>
      </c>
      <c r="K204" s="233">
        <v>54.648567</v>
      </c>
      <c r="L204" s="28">
        <f t="shared" si="16"/>
        <v>-3.1593783253841545E-2</v>
      </c>
      <c r="N204" s="24">
        <v>44151</v>
      </c>
      <c r="O204" s="25">
        <v>32.237358</v>
      </c>
      <c r="P204" s="28">
        <f t="shared" si="17"/>
        <v>1.6001438644352994E-3</v>
      </c>
      <c r="R204" s="24">
        <v>44151</v>
      </c>
      <c r="S204" s="233">
        <v>518.73999000000003</v>
      </c>
      <c r="T204" s="28">
        <f t="shared" si="18"/>
        <v>-8.4193993237218878E-2</v>
      </c>
      <c r="V204" s="24">
        <v>44151</v>
      </c>
      <c r="W204" s="25">
        <v>133.06835899999999</v>
      </c>
      <c r="X204" s="28">
        <f t="shared" si="19"/>
        <v>-2.3615780183683155E-2</v>
      </c>
      <c r="Z204" s="24">
        <v>44151</v>
      </c>
      <c r="AA204" s="27">
        <v>3557.54</v>
      </c>
      <c r="AB204" s="28">
        <f t="shared" si="20"/>
        <v>-7.7012119437123161E-3</v>
      </c>
    </row>
    <row r="205" spans="2:28" x14ac:dyDescent="0.35">
      <c r="B205" s="24">
        <v>44158</v>
      </c>
      <c r="C205" s="25">
        <v>202.72110000000001</v>
      </c>
      <c r="D205" s="28">
        <f t="shared" si="14"/>
        <v>7.3486910672473371E-3</v>
      </c>
      <c r="F205" s="24">
        <v>44158</v>
      </c>
      <c r="G205" s="25">
        <v>91.718902999999997</v>
      </c>
      <c r="H205" s="28">
        <f t="shared" si="15"/>
        <v>4.0162596187980792E-2</v>
      </c>
      <c r="J205" s="24">
        <v>44158</v>
      </c>
      <c r="K205" s="233">
        <v>55.925854000000001</v>
      </c>
      <c r="L205" s="28">
        <f t="shared" si="16"/>
        <v>2.337274461377925E-2</v>
      </c>
      <c r="N205" s="24">
        <v>44158</v>
      </c>
      <c r="O205" s="25">
        <v>32.702914999999997</v>
      </c>
      <c r="P205" s="28">
        <f t="shared" si="17"/>
        <v>1.4441537051516296E-2</v>
      </c>
      <c r="R205" s="24">
        <v>44158</v>
      </c>
      <c r="S205" s="233">
        <v>514.04998799999998</v>
      </c>
      <c r="T205" s="28">
        <f t="shared" si="18"/>
        <v>-9.0411421722085272E-3</v>
      </c>
      <c r="V205" s="24">
        <v>44158</v>
      </c>
      <c r="W205" s="25">
        <v>130.922684</v>
      </c>
      <c r="X205" s="28">
        <f t="shared" si="19"/>
        <v>-1.6124607052529938E-2</v>
      </c>
      <c r="Z205" s="24">
        <v>44158</v>
      </c>
      <c r="AA205" s="27">
        <v>3638.35</v>
      </c>
      <c r="AB205" s="28">
        <f t="shared" si="20"/>
        <v>2.2715134615492794E-2</v>
      </c>
    </row>
    <row r="206" spans="2:28" x14ac:dyDescent="0.35">
      <c r="B206" s="24">
        <v>44165</v>
      </c>
      <c r="C206" s="25">
        <v>206.688782</v>
      </c>
      <c r="D206" s="28">
        <f t="shared" si="14"/>
        <v>1.9572121500919248E-2</v>
      </c>
      <c r="F206" s="24">
        <v>44165</v>
      </c>
      <c r="G206" s="25">
        <v>93.808791999999997</v>
      </c>
      <c r="H206" s="28">
        <f t="shared" si="15"/>
        <v>2.2785804579455116E-2</v>
      </c>
      <c r="J206" s="24">
        <v>44165</v>
      </c>
      <c r="K206" s="233">
        <v>55.269466000000001</v>
      </c>
      <c r="L206" s="28">
        <f t="shared" si="16"/>
        <v>-1.173675416740172E-2</v>
      </c>
      <c r="N206" s="24">
        <v>44165</v>
      </c>
      <c r="O206" s="25">
        <v>35.434745999999997</v>
      </c>
      <c r="P206" s="28">
        <f t="shared" si="17"/>
        <v>8.3534785813435875E-2</v>
      </c>
      <c r="R206" s="24">
        <v>44165</v>
      </c>
      <c r="S206" s="233">
        <v>492.45001200000002</v>
      </c>
      <c r="T206" s="28">
        <f t="shared" si="18"/>
        <v>-4.201921311979484E-2</v>
      </c>
      <c r="V206" s="24">
        <v>44165</v>
      </c>
      <c r="W206" s="25">
        <v>137.57264699999999</v>
      </c>
      <c r="X206" s="28">
        <f t="shared" si="19"/>
        <v>5.0793054318990061E-2</v>
      </c>
      <c r="Z206" s="24">
        <v>44165</v>
      </c>
      <c r="AA206" s="27">
        <v>3699.12</v>
      </c>
      <c r="AB206" s="28">
        <f t="shared" si="20"/>
        <v>1.6702626190443493E-2</v>
      </c>
    </row>
    <row r="207" spans="2:28" x14ac:dyDescent="0.35">
      <c r="B207" s="24">
        <v>44172</v>
      </c>
      <c r="C207" s="25">
        <v>205.05658</v>
      </c>
      <c r="D207" s="28">
        <f t="shared" si="14"/>
        <v>-7.8969065674788785E-3</v>
      </c>
      <c r="F207" s="24">
        <v>44172</v>
      </c>
      <c r="G207" s="25">
        <v>92.986823999999999</v>
      </c>
      <c r="H207" s="28">
        <f t="shared" si="15"/>
        <v>-8.7621637852451917E-3</v>
      </c>
      <c r="J207" s="24">
        <v>44172</v>
      </c>
      <c r="K207" s="233">
        <v>53.859119</v>
      </c>
      <c r="L207" s="28">
        <f t="shared" si="16"/>
        <v>-2.5517652006987079E-2</v>
      </c>
      <c r="N207" s="24">
        <v>44172</v>
      </c>
      <c r="O207" s="25">
        <v>36.119903999999998</v>
      </c>
      <c r="P207" s="28">
        <f t="shared" si="17"/>
        <v>1.9335767215602484E-2</v>
      </c>
      <c r="R207" s="24">
        <v>44172</v>
      </c>
      <c r="S207" s="233">
        <v>479.76998900000001</v>
      </c>
      <c r="T207" s="28">
        <f t="shared" si="18"/>
        <v>-2.5748853063283117E-2</v>
      </c>
      <c r="V207" s="24">
        <v>44172</v>
      </c>
      <c r="W207" s="25">
        <v>140.02616900000001</v>
      </c>
      <c r="X207" s="28">
        <f t="shared" si="19"/>
        <v>1.7834373718200069E-2</v>
      </c>
      <c r="Z207" s="24">
        <v>44172</v>
      </c>
      <c r="AA207" s="27">
        <v>3663.46</v>
      </c>
      <c r="AB207" s="28">
        <f t="shared" si="20"/>
        <v>-9.6401306256622687E-3</v>
      </c>
    </row>
    <row r="208" spans="2:28" x14ac:dyDescent="0.35">
      <c r="B208" s="24">
        <v>44179</v>
      </c>
      <c r="C208" s="25">
        <v>206.039536</v>
      </c>
      <c r="D208" s="28">
        <f t="shared" si="14"/>
        <v>4.7935842878097379E-3</v>
      </c>
      <c r="F208" s="24">
        <v>44179</v>
      </c>
      <c r="G208" s="25">
        <v>91.334175000000002</v>
      </c>
      <c r="H208" s="28">
        <f t="shared" si="15"/>
        <v>-1.7772937378740861E-2</v>
      </c>
      <c r="J208" s="24">
        <v>44179</v>
      </c>
      <c r="K208" s="233">
        <v>55.987941999999997</v>
      </c>
      <c r="L208" s="28">
        <f t="shared" si="16"/>
        <v>3.9525767215018881E-2</v>
      </c>
      <c r="N208" s="24">
        <v>44179</v>
      </c>
      <c r="O208" s="25">
        <v>33.098193999999999</v>
      </c>
      <c r="P208" s="28">
        <f t="shared" si="17"/>
        <v>-8.3657752800228913E-2</v>
      </c>
      <c r="R208" s="24">
        <v>44179</v>
      </c>
      <c r="S208" s="233">
        <v>498.89001500000001</v>
      </c>
      <c r="T208" s="28">
        <f t="shared" si="18"/>
        <v>3.985248439539224E-2</v>
      </c>
      <c r="V208" s="24">
        <v>44179</v>
      </c>
      <c r="W208" s="25">
        <v>141.45434599999999</v>
      </c>
      <c r="X208" s="28">
        <f t="shared" si="19"/>
        <v>1.0199357807182396E-2</v>
      </c>
      <c r="Z208" s="24">
        <v>44179</v>
      </c>
      <c r="AA208" s="27">
        <v>3709.41</v>
      </c>
      <c r="AB208" s="28">
        <f t="shared" si="20"/>
        <v>1.2542787419543178E-2</v>
      </c>
    </row>
    <row r="209" spans="2:28" x14ac:dyDescent="0.35">
      <c r="B209" s="24">
        <v>44186</v>
      </c>
      <c r="C209" s="25">
        <v>201.02578700000001</v>
      </c>
      <c r="D209" s="28">
        <f t="shared" si="14"/>
        <v>-2.4333917156559637E-2</v>
      </c>
      <c r="F209" s="24">
        <v>44186</v>
      </c>
      <c r="G209" s="25">
        <v>90.293587000000002</v>
      </c>
      <c r="H209" s="28">
        <f t="shared" si="15"/>
        <v>-1.1393194278045415E-2</v>
      </c>
      <c r="J209" s="24">
        <v>44186</v>
      </c>
      <c r="K209" s="233">
        <v>54.240540000000003</v>
      </c>
      <c r="L209" s="28">
        <f t="shared" si="16"/>
        <v>-3.121032739513796E-2</v>
      </c>
      <c r="N209" s="24">
        <v>44186</v>
      </c>
      <c r="O209" s="25">
        <v>32.738048999999997</v>
      </c>
      <c r="P209" s="28">
        <f t="shared" si="17"/>
        <v>-1.0881107289418934E-2</v>
      </c>
      <c r="R209" s="24">
        <v>44186</v>
      </c>
      <c r="S209" s="233">
        <v>488.92999300000002</v>
      </c>
      <c r="T209" s="28">
        <f t="shared" si="18"/>
        <v>-1.9964364289792425E-2</v>
      </c>
      <c r="V209" s="24">
        <v>44186</v>
      </c>
      <c r="W209" s="25">
        <v>139.58674600000001</v>
      </c>
      <c r="X209" s="28">
        <f t="shared" si="19"/>
        <v>-1.3202846379848809E-2</v>
      </c>
      <c r="Z209" s="24">
        <v>44186</v>
      </c>
      <c r="AA209" s="27">
        <v>3703.06</v>
      </c>
      <c r="AB209" s="28">
        <f t="shared" si="20"/>
        <v>-1.7118625333947257E-3</v>
      </c>
    </row>
    <row r="210" spans="2:28" x14ac:dyDescent="0.35">
      <c r="B210" s="24">
        <v>44193</v>
      </c>
      <c r="C210" s="25">
        <v>207.32899499999999</v>
      </c>
      <c r="D210" s="28">
        <f t="shared" ref="D210:D273" si="21">(C210/C209)-1</f>
        <v>3.1355221109021114E-2</v>
      </c>
      <c r="F210" s="24">
        <v>44193</v>
      </c>
      <c r="G210" s="25">
        <v>93.695128999999994</v>
      </c>
      <c r="H210" s="28">
        <f t="shared" ref="H210:H273" si="22">(G210/G209)-1</f>
        <v>3.767202204515363E-2</v>
      </c>
      <c r="J210" s="24">
        <v>44193</v>
      </c>
      <c r="K210" s="233">
        <v>55.021102999999997</v>
      </c>
      <c r="L210" s="28">
        <f t="shared" ref="L210:L273" si="23">(K210/K209)-1</f>
        <v>1.4390767496046175E-2</v>
      </c>
      <c r="N210" s="24">
        <v>44193</v>
      </c>
      <c r="O210" s="25">
        <v>32.333987999999998</v>
      </c>
      <c r="P210" s="28">
        <f t="shared" ref="P210:P273" si="24">(O210/O209)-1</f>
        <v>-1.2342244340827979E-2</v>
      </c>
      <c r="R210" s="24">
        <v>44193</v>
      </c>
      <c r="S210" s="233">
        <v>483.10998499999999</v>
      </c>
      <c r="T210" s="28">
        <f t="shared" ref="T210:T273" si="25">(S210/S209)-1</f>
        <v>-1.1903561007352681E-2</v>
      </c>
      <c r="V210" s="24">
        <v>44193</v>
      </c>
      <c r="W210" s="25">
        <v>144.08189400000001</v>
      </c>
      <c r="X210" s="28">
        <f t="shared" ref="X210:X273" si="26">(W210/W209)-1</f>
        <v>3.2203258037120541E-2</v>
      </c>
      <c r="Z210" s="24">
        <v>44193</v>
      </c>
      <c r="AA210" s="27">
        <v>3756.07</v>
      </c>
      <c r="AB210" s="28">
        <f t="shared" ref="AB210:AB273" si="27">(AA210/AA209)-1</f>
        <v>1.4315187979671018E-2</v>
      </c>
    </row>
    <row r="211" spans="2:28" x14ac:dyDescent="0.35">
      <c r="B211" s="24">
        <v>44200</v>
      </c>
      <c r="C211" s="25">
        <v>215.05694600000001</v>
      </c>
      <c r="D211" s="28">
        <f t="shared" si="21"/>
        <v>3.727385549715323E-2</v>
      </c>
      <c r="F211" s="24">
        <v>44200</v>
      </c>
      <c r="G211" s="25">
        <v>93.800040999999993</v>
      </c>
      <c r="H211" s="28">
        <f t="shared" si="22"/>
        <v>1.1197166930629887E-3</v>
      </c>
      <c r="J211" s="24">
        <v>44200</v>
      </c>
      <c r="K211" s="233">
        <v>55.871262000000002</v>
      </c>
      <c r="L211" s="28">
        <f t="shared" si="23"/>
        <v>1.5451507760577021E-2</v>
      </c>
      <c r="N211" s="24">
        <v>44200</v>
      </c>
      <c r="O211" s="25">
        <v>32.615070000000003</v>
      </c>
      <c r="P211" s="28">
        <f t="shared" si="24"/>
        <v>8.6930817194590393E-3</v>
      </c>
      <c r="R211" s="24">
        <v>44200</v>
      </c>
      <c r="S211" s="233">
        <v>498.73001099999999</v>
      </c>
      <c r="T211" s="28">
        <f t="shared" si="25"/>
        <v>3.2332235898622441E-2</v>
      </c>
      <c r="V211" s="24">
        <v>44200</v>
      </c>
      <c r="W211" s="25">
        <v>146.51709</v>
      </c>
      <c r="X211" s="28">
        <f t="shared" si="26"/>
        <v>1.690147132574471E-2</v>
      </c>
      <c r="Z211" s="24">
        <v>44200</v>
      </c>
      <c r="AA211" s="27">
        <v>3824.68</v>
      </c>
      <c r="AB211" s="28">
        <f t="shared" si="27"/>
        <v>1.8266432734214133E-2</v>
      </c>
    </row>
    <row r="212" spans="2:28" x14ac:dyDescent="0.35">
      <c r="B212" s="24">
        <v>44207</v>
      </c>
      <c r="C212" s="25">
        <v>221.369156</v>
      </c>
      <c r="D212" s="28">
        <f t="shared" si="21"/>
        <v>2.9351342132422964E-2</v>
      </c>
      <c r="F212" s="24">
        <v>44207</v>
      </c>
      <c r="G212" s="25">
        <v>96.641936999999999</v>
      </c>
      <c r="H212" s="28">
        <f t="shared" si="22"/>
        <v>3.0297385477688676E-2</v>
      </c>
      <c r="J212" s="24">
        <v>44207</v>
      </c>
      <c r="K212" s="233">
        <v>59.492294000000001</v>
      </c>
      <c r="L212" s="28">
        <f t="shared" si="23"/>
        <v>6.4810277598526422E-2</v>
      </c>
      <c r="N212" s="24">
        <v>44207</v>
      </c>
      <c r="O212" s="25">
        <v>32.237358</v>
      </c>
      <c r="P212" s="28">
        <f t="shared" si="24"/>
        <v>-1.1580904164853911E-2</v>
      </c>
      <c r="R212" s="24">
        <v>44207</v>
      </c>
      <c r="S212" s="233">
        <v>517.92999299999997</v>
      </c>
      <c r="T212" s="28">
        <f t="shared" si="25"/>
        <v>3.8497747431525564E-2</v>
      </c>
      <c r="V212" s="24">
        <v>44207</v>
      </c>
      <c r="W212" s="25">
        <v>146.755157</v>
      </c>
      <c r="X212" s="28">
        <f t="shared" si="26"/>
        <v>1.6248411704054E-3</v>
      </c>
      <c r="Z212" s="24">
        <v>44207</v>
      </c>
      <c r="AA212" s="27">
        <v>3768.25</v>
      </c>
      <c r="AB212" s="28">
        <f t="shared" si="27"/>
        <v>-1.4754175512722623E-2</v>
      </c>
    </row>
    <row r="213" spans="2:28" x14ac:dyDescent="0.35">
      <c r="B213" s="24">
        <v>44214</v>
      </c>
      <c r="C213" s="25">
        <v>228.59214800000001</v>
      </c>
      <c r="D213" s="28">
        <f t="shared" si="21"/>
        <v>3.2628719061475797E-2</v>
      </c>
      <c r="F213" s="24">
        <v>44214</v>
      </c>
      <c r="G213" s="25">
        <v>98.073036000000002</v>
      </c>
      <c r="H213" s="28">
        <f t="shared" si="22"/>
        <v>1.4808260724327171E-2</v>
      </c>
      <c r="J213" s="24">
        <v>44214</v>
      </c>
      <c r="K213" s="233">
        <v>57.722014999999999</v>
      </c>
      <c r="L213" s="28">
        <f t="shared" si="23"/>
        <v>-2.9756442069623357E-2</v>
      </c>
      <c r="N213" s="24">
        <v>44214</v>
      </c>
      <c r="O213" s="25">
        <v>32.105598000000001</v>
      </c>
      <c r="P213" s="28">
        <f t="shared" si="24"/>
        <v>-4.0871835713087723E-3</v>
      </c>
      <c r="R213" s="24">
        <v>44214</v>
      </c>
      <c r="S213" s="233">
        <v>537.78002900000001</v>
      </c>
      <c r="T213" s="28">
        <f t="shared" si="25"/>
        <v>3.8325712486783958E-2</v>
      </c>
      <c r="V213" s="24">
        <v>44214</v>
      </c>
      <c r="W213" s="25">
        <v>149.73052999999999</v>
      </c>
      <c r="X213" s="28">
        <f t="shared" si="26"/>
        <v>2.0274401668896713E-2</v>
      </c>
      <c r="Z213" s="24">
        <v>44214</v>
      </c>
      <c r="AA213" s="27">
        <v>3841.47</v>
      </c>
      <c r="AB213" s="28">
        <f t="shared" si="27"/>
        <v>1.9430770251442908E-2</v>
      </c>
    </row>
    <row r="214" spans="2:28" x14ac:dyDescent="0.35">
      <c r="B214" s="24">
        <v>44221</v>
      </c>
      <c r="C214" s="25">
        <v>217.70806899999999</v>
      </c>
      <c r="D214" s="28">
        <f t="shared" si="21"/>
        <v>-4.7613529577577696E-2</v>
      </c>
      <c r="F214" s="24">
        <v>44221</v>
      </c>
      <c r="G214" s="25">
        <v>90.659615000000002</v>
      </c>
      <c r="H214" s="28">
        <f t="shared" si="22"/>
        <v>-7.5590817847221548E-2</v>
      </c>
      <c r="J214" s="24">
        <v>44221</v>
      </c>
      <c r="K214" s="233">
        <v>54.923533999999997</v>
      </c>
      <c r="L214" s="28">
        <f t="shared" si="23"/>
        <v>-4.8482039305107416E-2</v>
      </c>
      <c r="N214" s="24">
        <v>44221</v>
      </c>
      <c r="O214" s="25">
        <v>31.534638999999999</v>
      </c>
      <c r="P214" s="28">
        <f t="shared" si="24"/>
        <v>-1.7783783376344564E-2</v>
      </c>
      <c r="R214" s="24">
        <v>44221</v>
      </c>
      <c r="S214" s="233">
        <v>503.83999599999999</v>
      </c>
      <c r="T214" s="28">
        <f t="shared" si="25"/>
        <v>-6.311136741747625E-2</v>
      </c>
      <c r="V214" s="24">
        <v>44221</v>
      </c>
      <c r="W214" s="25">
        <v>149.34600800000001</v>
      </c>
      <c r="X214" s="28">
        <f t="shared" si="26"/>
        <v>-2.5680934943593803E-3</v>
      </c>
      <c r="Z214" s="24">
        <v>44221</v>
      </c>
      <c r="AA214" s="27">
        <v>3714.24</v>
      </c>
      <c r="AB214" s="28">
        <f t="shared" si="27"/>
        <v>-3.3120133698818388E-2</v>
      </c>
    </row>
    <row r="215" spans="2:28" x14ac:dyDescent="0.35">
      <c r="B215" s="24">
        <v>44228</v>
      </c>
      <c r="C215" s="25">
        <v>213.10017400000001</v>
      </c>
      <c r="D215" s="28">
        <f t="shared" si="21"/>
        <v>-2.1165476416034834E-2</v>
      </c>
      <c r="F215" s="24">
        <v>44228</v>
      </c>
      <c r="G215" s="25">
        <v>96.188736000000006</v>
      </c>
      <c r="H215" s="28">
        <f t="shared" si="22"/>
        <v>6.0987695568749167E-2</v>
      </c>
      <c r="J215" s="24">
        <v>44228</v>
      </c>
      <c r="K215" s="233">
        <v>54.467556000000002</v>
      </c>
      <c r="L215" s="28">
        <f t="shared" si="23"/>
        <v>-8.3020513574380006E-3</v>
      </c>
      <c r="N215" s="24">
        <v>44228</v>
      </c>
      <c r="O215" s="25">
        <v>31.007491999999999</v>
      </c>
      <c r="P215" s="28">
        <f t="shared" si="24"/>
        <v>-1.6716443146851945E-2</v>
      </c>
      <c r="R215" s="24">
        <v>44228</v>
      </c>
      <c r="S215" s="233">
        <v>498.98001099999999</v>
      </c>
      <c r="T215" s="28">
        <f t="shared" si="25"/>
        <v>-9.6458896446958153E-3</v>
      </c>
      <c r="V215" s="24">
        <v>44228</v>
      </c>
      <c r="W215" s="25">
        <v>150.554474</v>
      </c>
      <c r="X215" s="28">
        <f t="shared" si="26"/>
        <v>8.0917194653102875E-3</v>
      </c>
      <c r="Z215" s="24">
        <v>44228</v>
      </c>
      <c r="AA215" s="27">
        <v>3886.83</v>
      </c>
      <c r="AB215" s="28">
        <f t="shared" si="27"/>
        <v>4.6467110364435404E-2</v>
      </c>
    </row>
    <row r="216" spans="2:28" x14ac:dyDescent="0.35">
      <c r="B216" s="24">
        <v>44235</v>
      </c>
      <c r="C216" s="25">
        <v>213.90273999999999</v>
      </c>
      <c r="D216" s="28">
        <f t="shared" si="21"/>
        <v>3.7661442735377193E-3</v>
      </c>
      <c r="F216" s="24">
        <v>44235</v>
      </c>
      <c r="G216" s="25">
        <v>92.393555000000006</v>
      </c>
      <c r="H216" s="28">
        <f t="shared" si="22"/>
        <v>-3.9455565774354273E-2</v>
      </c>
      <c r="J216" s="24">
        <v>44235</v>
      </c>
      <c r="K216" s="233">
        <v>53.636051000000002</v>
      </c>
      <c r="L216" s="28">
        <f t="shared" si="23"/>
        <v>-1.526606040483991E-2</v>
      </c>
      <c r="N216" s="24">
        <v>44235</v>
      </c>
      <c r="O216" s="25">
        <v>30.829905</v>
      </c>
      <c r="P216" s="28">
        <f t="shared" si="24"/>
        <v>-5.7272287613586714E-3</v>
      </c>
      <c r="R216" s="24">
        <v>44235</v>
      </c>
      <c r="S216" s="233">
        <v>485.61999500000002</v>
      </c>
      <c r="T216" s="28">
        <f t="shared" si="25"/>
        <v>-2.6774651700426477E-2</v>
      </c>
      <c r="V216" s="24">
        <v>44235</v>
      </c>
      <c r="W216" s="25">
        <v>152.50448600000001</v>
      </c>
      <c r="X216" s="28">
        <f t="shared" si="26"/>
        <v>1.2952202270654745E-2</v>
      </c>
      <c r="Z216" s="24">
        <v>44235</v>
      </c>
      <c r="AA216" s="27">
        <v>3934.83</v>
      </c>
      <c r="AB216" s="28">
        <f t="shared" si="27"/>
        <v>1.2349395265550678E-2</v>
      </c>
    </row>
    <row r="217" spans="2:28" x14ac:dyDescent="0.35">
      <c r="B217" s="24">
        <v>44242</v>
      </c>
      <c r="C217" s="25">
        <v>210.47856100000001</v>
      </c>
      <c r="D217" s="28">
        <f t="shared" si="21"/>
        <v>-1.6008111911048784E-2</v>
      </c>
      <c r="F217" s="24">
        <v>44242</v>
      </c>
      <c r="G217" s="25">
        <v>92.897803999999994</v>
      </c>
      <c r="H217" s="28">
        <f t="shared" si="22"/>
        <v>5.4576209347068083E-3</v>
      </c>
      <c r="J217" s="24">
        <v>44242</v>
      </c>
      <c r="K217" s="233">
        <v>54.181441999999997</v>
      </c>
      <c r="L217" s="28">
        <f t="shared" si="23"/>
        <v>1.0168366049170929E-2</v>
      </c>
      <c r="N217" s="24">
        <v>44242</v>
      </c>
      <c r="O217" s="25">
        <v>30.581274000000001</v>
      </c>
      <c r="P217" s="28">
        <f t="shared" si="24"/>
        <v>-8.0646048049775043E-3</v>
      </c>
      <c r="R217" s="24">
        <v>44242</v>
      </c>
      <c r="S217" s="233">
        <v>470.36999500000002</v>
      </c>
      <c r="T217" s="28">
        <f t="shared" si="25"/>
        <v>-3.1403155053366327E-2</v>
      </c>
      <c r="V217" s="24">
        <v>44242</v>
      </c>
      <c r="W217" s="25">
        <v>149.20867899999999</v>
      </c>
      <c r="X217" s="28">
        <f t="shared" si="26"/>
        <v>-2.1611213456370182E-2</v>
      </c>
      <c r="Z217" s="24">
        <v>44242</v>
      </c>
      <c r="AA217" s="27">
        <v>3906.71</v>
      </c>
      <c r="AB217" s="28">
        <f t="shared" si="27"/>
        <v>-7.1464332639529227E-3</v>
      </c>
    </row>
    <row r="218" spans="2:28" x14ac:dyDescent="0.35">
      <c r="B218" s="24">
        <v>44249</v>
      </c>
      <c r="C218" s="25">
        <v>204.32836900000001</v>
      </c>
      <c r="D218" s="28">
        <f t="shared" si="21"/>
        <v>-2.9220040135109038E-2</v>
      </c>
      <c r="F218" s="24">
        <v>44249</v>
      </c>
      <c r="G218" s="25">
        <v>95.312911999999997</v>
      </c>
      <c r="H218" s="28">
        <f t="shared" si="22"/>
        <v>2.599747137187447E-2</v>
      </c>
      <c r="J218" s="24">
        <v>44249</v>
      </c>
      <c r="K218" s="233">
        <v>54.834128999999997</v>
      </c>
      <c r="L218" s="28">
        <f t="shared" si="23"/>
        <v>1.2046320214216477E-2</v>
      </c>
      <c r="N218" s="24">
        <v>44249</v>
      </c>
      <c r="O218" s="25">
        <v>29.737717</v>
      </c>
      <c r="P218" s="28">
        <f t="shared" si="24"/>
        <v>-2.7584102611290851E-2</v>
      </c>
      <c r="R218" s="24">
        <v>44249</v>
      </c>
      <c r="S218" s="233">
        <v>450.57000699999998</v>
      </c>
      <c r="T218" s="28">
        <f t="shared" si="25"/>
        <v>-4.2094496269899251E-2</v>
      </c>
      <c r="V218" s="24">
        <v>44249</v>
      </c>
      <c r="W218" s="25">
        <v>145.07063299999999</v>
      </c>
      <c r="X218" s="28">
        <f t="shared" si="26"/>
        <v>-2.7733279509833397E-2</v>
      </c>
      <c r="Z218" s="24">
        <v>44249</v>
      </c>
      <c r="AA218" s="27">
        <v>3811.15</v>
      </c>
      <c r="AB218" s="28">
        <f t="shared" si="27"/>
        <v>-2.4460479533930046E-2</v>
      </c>
    </row>
    <row r="219" spans="2:28" x14ac:dyDescent="0.35">
      <c r="B219" s="24">
        <v>44256</v>
      </c>
      <c r="C219" s="25">
        <v>206.88111900000001</v>
      </c>
      <c r="D219" s="28">
        <f t="shared" si="21"/>
        <v>1.2493370413973137E-2</v>
      </c>
      <c r="F219" s="24">
        <v>44256</v>
      </c>
      <c r="G219" s="25">
        <v>94.392859999999999</v>
      </c>
      <c r="H219" s="28">
        <f t="shared" si="22"/>
        <v>-9.6529628640450449E-3</v>
      </c>
      <c r="J219" s="24">
        <v>44256</v>
      </c>
      <c r="K219" s="233">
        <v>54.029452999999997</v>
      </c>
      <c r="L219" s="28">
        <f t="shared" si="23"/>
        <v>-1.4674729309551049E-2</v>
      </c>
      <c r="N219" s="24">
        <v>44256</v>
      </c>
      <c r="O219" s="25">
        <v>30.536877</v>
      </c>
      <c r="P219" s="28">
        <f t="shared" si="24"/>
        <v>2.6873616424555991E-2</v>
      </c>
      <c r="R219" s="24">
        <v>44256</v>
      </c>
      <c r="S219" s="233">
        <v>461.57000699999998</v>
      </c>
      <c r="T219" s="28">
        <f t="shared" si="25"/>
        <v>2.4413520272333677E-2</v>
      </c>
      <c r="V219" s="24">
        <v>44256</v>
      </c>
      <c r="W219" s="25">
        <v>143.80119300000001</v>
      </c>
      <c r="X219" s="28">
        <f t="shared" si="26"/>
        <v>-8.750496042848166E-3</v>
      </c>
      <c r="Z219" s="24">
        <v>44256</v>
      </c>
      <c r="AA219" s="27">
        <v>3841.94</v>
      </c>
      <c r="AB219" s="28">
        <f t="shared" si="27"/>
        <v>8.0789263083320684E-3</v>
      </c>
    </row>
    <row r="220" spans="2:28" x14ac:dyDescent="0.35">
      <c r="B220" s="24">
        <v>44263</v>
      </c>
      <c r="C220" s="25">
        <v>209.270355</v>
      </c>
      <c r="D220" s="28">
        <f t="shared" si="21"/>
        <v>1.1548835444959105E-2</v>
      </c>
      <c r="F220" s="24">
        <v>44263</v>
      </c>
      <c r="G220" s="25">
        <v>95.737549000000001</v>
      </c>
      <c r="H220" s="28">
        <f t="shared" si="22"/>
        <v>1.4245664343680353E-2</v>
      </c>
      <c r="J220" s="24">
        <v>44263</v>
      </c>
      <c r="K220" s="233">
        <v>54.217205</v>
      </c>
      <c r="L220" s="28">
        <f t="shared" si="23"/>
        <v>3.4749935373212804E-3</v>
      </c>
      <c r="N220" s="24">
        <v>44263</v>
      </c>
      <c r="O220" s="25">
        <v>31.025252999999999</v>
      </c>
      <c r="P220" s="28">
        <f t="shared" si="24"/>
        <v>1.5992991031793968E-2</v>
      </c>
      <c r="R220" s="24">
        <v>44263</v>
      </c>
      <c r="S220" s="233">
        <v>471.459991</v>
      </c>
      <c r="T220" s="28">
        <f t="shared" si="25"/>
        <v>2.1426834174691045E-2</v>
      </c>
      <c r="V220" s="24">
        <v>44263</v>
      </c>
      <c r="W220" s="25">
        <v>147.02542099999999</v>
      </c>
      <c r="X220" s="28">
        <f t="shared" si="26"/>
        <v>2.2421427338227939E-2</v>
      </c>
      <c r="Z220" s="24">
        <v>44263</v>
      </c>
      <c r="AA220" s="27">
        <v>3943.34</v>
      </c>
      <c r="AB220" s="28">
        <f t="shared" si="27"/>
        <v>2.6392916078856077E-2</v>
      </c>
    </row>
    <row r="221" spans="2:28" x14ac:dyDescent="0.35">
      <c r="B221" s="24">
        <v>44270</v>
      </c>
      <c r="C221" s="25">
        <v>223.423981</v>
      </c>
      <c r="D221" s="28">
        <f t="shared" si="21"/>
        <v>6.7633210637980667E-2</v>
      </c>
      <c r="F221" s="24">
        <v>44270</v>
      </c>
      <c r="G221" s="25">
        <v>91.491187999999994</v>
      </c>
      <c r="H221" s="28">
        <f t="shared" si="22"/>
        <v>-4.4354185419975711E-2</v>
      </c>
      <c r="J221" s="24">
        <v>44270</v>
      </c>
      <c r="K221" s="233">
        <v>56.059016999999997</v>
      </c>
      <c r="L221" s="28">
        <f t="shared" si="23"/>
        <v>3.3970987622840232E-2</v>
      </c>
      <c r="N221" s="24">
        <v>44270</v>
      </c>
      <c r="O221" s="25">
        <v>31.549147000000001</v>
      </c>
      <c r="P221" s="28">
        <f t="shared" si="24"/>
        <v>1.6886050856700585E-2</v>
      </c>
      <c r="R221" s="24">
        <v>44270</v>
      </c>
      <c r="S221" s="233">
        <v>473.70001200000002</v>
      </c>
      <c r="T221" s="28">
        <f t="shared" si="25"/>
        <v>4.7512430381393411E-3</v>
      </c>
      <c r="V221" s="24">
        <v>44270</v>
      </c>
      <c r="W221" s="25">
        <v>147.430756</v>
      </c>
      <c r="X221" s="28">
        <f t="shared" si="26"/>
        <v>2.7569041954997875E-3</v>
      </c>
      <c r="Z221" s="24">
        <v>44270</v>
      </c>
      <c r="AA221" s="27">
        <v>3913.1</v>
      </c>
      <c r="AB221" s="28">
        <f t="shared" si="27"/>
        <v>-7.6686260885442392E-3</v>
      </c>
    </row>
    <row r="222" spans="2:28" x14ac:dyDescent="0.35">
      <c r="B222" s="24">
        <v>44277</v>
      </c>
      <c r="C222" s="25">
        <v>229.71044900000001</v>
      </c>
      <c r="D222" s="28">
        <f t="shared" si="21"/>
        <v>2.8136943813565019E-2</v>
      </c>
      <c r="F222" s="24">
        <v>44277</v>
      </c>
      <c r="G222" s="25">
        <v>93.755920000000003</v>
      </c>
      <c r="H222" s="28">
        <f t="shared" si="22"/>
        <v>2.475355331488327E-2</v>
      </c>
      <c r="J222" s="24">
        <v>44277</v>
      </c>
      <c r="K222" s="233">
        <v>57.167675000000003</v>
      </c>
      <c r="L222" s="28">
        <f t="shared" si="23"/>
        <v>1.9776622197995364E-2</v>
      </c>
      <c r="N222" s="24">
        <v>44277</v>
      </c>
      <c r="O222" s="25">
        <v>32.188479999999998</v>
      </c>
      <c r="P222" s="28">
        <f t="shared" si="24"/>
        <v>2.0264668328433544E-2</v>
      </c>
      <c r="R222" s="24">
        <v>44277</v>
      </c>
      <c r="S222" s="233">
        <v>476.91000400000001</v>
      </c>
      <c r="T222" s="28">
        <f t="shared" si="25"/>
        <v>6.7764237253176152E-3</v>
      </c>
      <c r="V222" s="24">
        <v>44277</v>
      </c>
      <c r="W222" s="25">
        <v>151.93544</v>
      </c>
      <c r="X222" s="28">
        <f t="shared" si="26"/>
        <v>3.0554574379310528E-2</v>
      </c>
      <c r="Z222" s="24">
        <v>44277</v>
      </c>
      <c r="AA222" s="27">
        <v>3974.54</v>
      </c>
      <c r="AB222" s="28">
        <f t="shared" si="27"/>
        <v>1.570110653957224E-2</v>
      </c>
    </row>
    <row r="223" spans="2:28" x14ac:dyDescent="0.35">
      <c r="B223" s="24">
        <v>44284</v>
      </c>
      <c r="C223" s="25">
        <v>226.35823099999999</v>
      </c>
      <c r="D223" s="28">
        <f t="shared" si="21"/>
        <v>-1.4593232543810064E-2</v>
      </c>
      <c r="F223" s="24">
        <v>44284</v>
      </c>
      <c r="G223" s="25">
        <v>96.002944999999997</v>
      </c>
      <c r="H223" s="28">
        <f t="shared" si="22"/>
        <v>2.3966753246088324E-2</v>
      </c>
      <c r="J223" s="24">
        <v>44284</v>
      </c>
      <c r="K223" s="233">
        <v>56.264656000000002</v>
      </c>
      <c r="L223" s="28">
        <f t="shared" si="23"/>
        <v>-1.5795972111862122E-2</v>
      </c>
      <c r="N223" s="24">
        <v>44284</v>
      </c>
      <c r="O223" s="25">
        <v>32.232880000000002</v>
      </c>
      <c r="P223" s="28">
        <f t="shared" si="24"/>
        <v>1.3793754784321433E-3</v>
      </c>
      <c r="R223" s="24">
        <v>44284</v>
      </c>
      <c r="S223" s="233">
        <v>474.92999300000002</v>
      </c>
      <c r="T223" s="28">
        <f t="shared" si="25"/>
        <v>-4.1517497712210139E-3</v>
      </c>
      <c r="V223" s="24">
        <v>44284</v>
      </c>
      <c r="W223" s="25">
        <v>150.00091599999999</v>
      </c>
      <c r="X223" s="28">
        <f t="shared" si="26"/>
        <v>-1.2732539557591127E-2</v>
      </c>
      <c r="Z223" s="24">
        <v>44284</v>
      </c>
      <c r="AA223" s="27">
        <v>4019.87</v>
      </c>
      <c r="AB223" s="28">
        <f t="shared" si="27"/>
        <v>1.140509341961593E-2</v>
      </c>
    </row>
    <row r="224" spans="2:28" x14ac:dyDescent="0.35">
      <c r="B224" s="24">
        <v>44291</v>
      </c>
      <c r="C224" s="25">
        <v>226.15838600000001</v>
      </c>
      <c r="D224" s="28">
        <f t="shared" si="21"/>
        <v>-8.8287047975732502E-4</v>
      </c>
      <c r="F224" s="24">
        <v>44291</v>
      </c>
      <c r="G224" s="25">
        <v>95.135979000000006</v>
      </c>
      <c r="H224" s="28">
        <f t="shared" si="22"/>
        <v>-9.0306188002877708E-3</v>
      </c>
      <c r="J224" s="24">
        <v>44291</v>
      </c>
      <c r="K224" s="233">
        <v>56.415194999999997</v>
      </c>
      <c r="L224" s="28">
        <f t="shared" si="23"/>
        <v>2.6755517709020626E-3</v>
      </c>
      <c r="N224" s="24">
        <v>44291</v>
      </c>
      <c r="O224" s="25">
        <v>32.499263999999997</v>
      </c>
      <c r="P224" s="28">
        <f t="shared" si="24"/>
        <v>8.2643561481319239E-3</v>
      </c>
      <c r="R224" s="24">
        <v>44291</v>
      </c>
      <c r="S224" s="233">
        <v>475.17001299999998</v>
      </c>
      <c r="T224" s="28">
        <f t="shared" si="25"/>
        <v>5.0537974762088211E-4</v>
      </c>
      <c r="V224" s="24">
        <v>44291</v>
      </c>
      <c r="W224" s="25">
        <v>148.54541</v>
      </c>
      <c r="X224" s="28">
        <f t="shared" si="26"/>
        <v>-9.7033140784286154E-3</v>
      </c>
      <c r="Z224" s="24">
        <v>44291</v>
      </c>
      <c r="AA224" s="27">
        <v>4128.8</v>
      </c>
      <c r="AB224" s="28">
        <f t="shared" si="27"/>
        <v>2.7097891225338122E-2</v>
      </c>
    </row>
    <row r="225" spans="2:28" x14ac:dyDescent="0.35">
      <c r="B225" s="24">
        <v>44298</v>
      </c>
      <c r="C225" s="25">
        <v>232.29954499999999</v>
      </c>
      <c r="D225" s="28">
        <f t="shared" si="21"/>
        <v>2.7154239595607921E-2</v>
      </c>
      <c r="F225" s="24">
        <v>44298</v>
      </c>
      <c r="G225" s="25">
        <v>95.463310000000007</v>
      </c>
      <c r="H225" s="28">
        <f t="shared" si="22"/>
        <v>3.4406646511726535E-3</v>
      </c>
      <c r="J225" s="24">
        <v>44298</v>
      </c>
      <c r="K225" s="233">
        <v>58.983204000000001</v>
      </c>
      <c r="L225" s="28">
        <f t="shared" si="23"/>
        <v>4.5519810753113621E-2</v>
      </c>
      <c r="N225" s="24">
        <v>44298</v>
      </c>
      <c r="O225" s="25">
        <v>34.248542999999998</v>
      </c>
      <c r="P225" s="28">
        <f t="shared" si="24"/>
        <v>5.3825188164261295E-2</v>
      </c>
      <c r="R225" s="24">
        <v>44298</v>
      </c>
      <c r="S225" s="233">
        <v>502.60000600000001</v>
      </c>
      <c r="T225" s="28">
        <f t="shared" si="25"/>
        <v>5.7726692025071191E-2</v>
      </c>
      <c r="V225" s="24">
        <v>44298</v>
      </c>
      <c r="W225" s="25">
        <v>149.457413</v>
      </c>
      <c r="X225" s="28">
        <f t="shared" si="26"/>
        <v>6.1395569206750267E-3</v>
      </c>
      <c r="Z225" s="24">
        <v>44298</v>
      </c>
      <c r="AA225" s="27">
        <v>4185.47</v>
      </c>
      <c r="AB225" s="28">
        <f t="shared" si="27"/>
        <v>1.3725537686494871E-2</v>
      </c>
    </row>
    <row r="226" spans="2:28" x14ac:dyDescent="0.35">
      <c r="B226" s="24">
        <v>44305</v>
      </c>
      <c r="C226" s="25">
        <v>233.49865700000001</v>
      </c>
      <c r="D226" s="28">
        <f t="shared" si="21"/>
        <v>5.161921432089045E-3</v>
      </c>
      <c r="F226" s="24">
        <v>44305</v>
      </c>
      <c r="G226" s="25">
        <v>99.731093999999999</v>
      </c>
      <c r="H226" s="28">
        <f t="shared" si="22"/>
        <v>4.470601323168033E-2</v>
      </c>
      <c r="J226" s="24">
        <v>44305</v>
      </c>
      <c r="K226" s="233">
        <v>59.478783</v>
      </c>
      <c r="L226" s="28">
        <f t="shared" si="23"/>
        <v>8.4020359422998236E-3</v>
      </c>
      <c r="N226" s="24">
        <v>44305</v>
      </c>
      <c r="O226" s="25">
        <v>34.328465000000001</v>
      </c>
      <c r="P226" s="28">
        <f t="shared" si="24"/>
        <v>2.3335883222828091E-3</v>
      </c>
      <c r="R226" s="24">
        <v>44305</v>
      </c>
      <c r="S226" s="233">
        <v>488.64001500000001</v>
      </c>
      <c r="T226" s="28">
        <f t="shared" si="25"/>
        <v>-2.777554881286648E-2</v>
      </c>
      <c r="V226" s="24">
        <v>44305</v>
      </c>
      <c r="W226" s="25">
        <v>152.47901899999999</v>
      </c>
      <c r="X226" s="28">
        <f t="shared" si="26"/>
        <v>2.0217170492573544E-2</v>
      </c>
      <c r="Z226" s="24">
        <v>44305</v>
      </c>
      <c r="AA226" s="27">
        <v>4180.17</v>
      </c>
      <c r="AB226" s="28">
        <f t="shared" si="27"/>
        <v>-1.266285506765108E-3</v>
      </c>
    </row>
    <row r="227" spans="2:28" x14ac:dyDescent="0.35">
      <c r="B227" s="24">
        <v>44312</v>
      </c>
      <c r="C227" s="25">
        <v>217.70069899999999</v>
      </c>
      <c r="D227" s="28">
        <f t="shared" si="21"/>
        <v>-6.7657596848619272E-2</v>
      </c>
      <c r="F227" s="24">
        <v>44312</v>
      </c>
      <c r="G227" s="25">
        <v>99.838531000000003</v>
      </c>
      <c r="H227" s="28">
        <f t="shared" si="22"/>
        <v>1.0772668351557435E-3</v>
      </c>
      <c r="J227" s="24">
        <v>44312</v>
      </c>
      <c r="K227" s="233">
        <v>56.243980000000001</v>
      </c>
      <c r="L227" s="28">
        <f t="shared" si="23"/>
        <v>-5.4385830322049467E-2</v>
      </c>
      <c r="N227" s="24">
        <v>44312</v>
      </c>
      <c r="O227" s="25">
        <v>34.319583999999999</v>
      </c>
      <c r="P227" s="28">
        <f t="shared" si="24"/>
        <v>-2.5870658650195555E-4</v>
      </c>
      <c r="R227" s="24">
        <v>44312</v>
      </c>
      <c r="S227" s="233">
        <v>481.29998799999998</v>
      </c>
      <c r="T227" s="28">
        <f t="shared" si="25"/>
        <v>-1.5021338356826952E-2</v>
      </c>
      <c r="V227" s="24">
        <v>44312</v>
      </c>
      <c r="W227" s="25">
        <v>149.908783</v>
      </c>
      <c r="X227" s="28">
        <f t="shared" si="26"/>
        <v>-1.6856325656187443E-2</v>
      </c>
      <c r="Z227" s="24">
        <v>44312</v>
      </c>
      <c r="AA227" s="27">
        <v>4181.17</v>
      </c>
      <c r="AB227" s="28">
        <f t="shared" si="27"/>
        <v>2.3922472052562149E-4</v>
      </c>
    </row>
    <row r="228" spans="2:28" x14ac:dyDescent="0.35">
      <c r="B228" s="24">
        <v>44319</v>
      </c>
      <c r="C228" s="25">
        <v>230.936813</v>
      </c>
      <c r="D228" s="28">
        <f t="shared" si="21"/>
        <v>6.0799593482242509E-2</v>
      </c>
      <c r="F228" s="24">
        <v>44319</v>
      </c>
      <c r="G228" s="25">
        <v>103.644051</v>
      </c>
      <c r="H228" s="28">
        <f t="shared" si="22"/>
        <v>3.8116746729777162E-2</v>
      </c>
      <c r="J228" s="24">
        <v>44319</v>
      </c>
      <c r="K228" s="233">
        <v>58.064124999999997</v>
      </c>
      <c r="L228" s="28">
        <f t="shared" si="23"/>
        <v>3.23615967433315E-2</v>
      </c>
      <c r="N228" s="24">
        <v>44319</v>
      </c>
      <c r="O228" s="25">
        <v>35.145378000000001</v>
      </c>
      <c r="P228" s="28">
        <f t="shared" si="24"/>
        <v>2.4061888395850106E-2</v>
      </c>
      <c r="R228" s="24">
        <v>44319</v>
      </c>
      <c r="S228" s="233">
        <v>496.75</v>
      </c>
      <c r="T228" s="28">
        <f t="shared" si="25"/>
        <v>3.2100586713498913E-2</v>
      </c>
      <c r="V228" s="24">
        <v>44319</v>
      </c>
      <c r="W228" s="25">
        <v>155.224197</v>
      </c>
      <c r="X228" s="28">
        <f t="shared" si="26"/>
        <v>3.545765560647629E-2</v>
      </c>
      <c r="Z228" s="24">
        <v>44319</v>
      </c>
      <c r="AA228" s="27">
        <v>4232.6000000000004</v>
      </c>
      <c r="AB228" s="28">
        <f t="shared" si="27"/>
        <v>1.2300384820516763E-2</v>
      </c>
    </row>
    <row r="229" spans="2:28" x14ac:dyDescent="0.35">
      <c r="B229" s="24">
        <v>44326</v>
      </c>
      <c r="C229" s="25">
        <v>228.36595199999999</v>
      </c>
      <c r="D229" s="28">
        <f t="shared" si="21"/>
        <v>-1.1132313495640034E-2</v>
      </c>
      <c r="F229" s="24">
        <v>44326</v>
      </c>
      <c r="G229" s="25">
        <v>104.252922</v>
      </c>
      <c r="H229" s="28">
        <f t="shared" si="22"/>
        <v>5.8746352938288116E-3</v>
      </c>
      <c r="J229" s="24">
        <v>44326</v>
      </c>
      <c r="K229" s="233">
        <v>58.460586999999997</v>
      </c>
      <c r="L229" s="28">
        <f t="shared" si="23"/>
        <v>6.8280026608511513E-3</v>
      </c>
      <c r="N229" s="24">
        <v>44326</v>
      </c>
      <c r="O229" s="25">
        <v>35.886237999999999</v>
      </c>
      <c r="P229" s="28">
        <f t="shared" si="24"/>
        <v>2.1079870018754665E-2</v>
      </c>
      <c r="R229" s="24">
        <v>44326</v>
      </c>
      <c r="S229" s="233">
        <v>516.61999500000002</v>
      </c>
      <c r="T229" s="28">
        <f t="shared" si="25"/>
        <v>3.9999989934574876E-2</v>
      </c>
      <c r="V229" s="24">
        <v>44326</v>
      </c>
      <c r="W229" s="25">
        <v>156.808685</v>
      </c>
      <c r="X229" s="28">
        <f t="shared" si="26"/>
        <v>1.0207738423668511E-2</v>
      </c>
      <c r="Z229" s="24">
        <v>44326</v>
      </c>
      <c r="AA229" s="27">
        <v>4173.8500000000004</v>
      </c>
      <c r="AB229" s="28">
        <f t="shared" si="27"/>
        <v>-1.388035722723624E-2</v>
      </c>
    </row>
    <row r="230" spans="2:28" x14ac:dyDescent="0.35">
      <c r="B230" s="24">
        <v>44333</v>
      </c>
      <c r="C230" s="25">
        <v>229.63314800000001</v>
      </c>
      <c r="D230" s="28">
        <f t="shared" si="21"/>
        <v>5.5489708027929296E-3</v>
      </c>
      <c r="F230" s="24">
        <v>44333</v>
      </c>
      <c r="G230" s="25">
        <v>103.97534899999999</v>
      </c>
      <c r="H230" s="28">
        <f t="shared" si="22"/>
        <v>-2.6624961168953964E-3</v>
      </c>
      <c r="J230" s="24">
        <v>44333</v>
      </c>
      <c r="K230" s="233">
        <v>60.415882000000003</v>
      </c>
      <c r="L230" s="28">
        <f t="shared" si="23"/>
        <v>3.3446379866148179E-2</v>
      </c>
      <c r="N230" s="24">
        <v>44333</v>
      </c>
      <c r="O230" s="25">
        <v>35.823470999999998</v>
      </c>
      <c r="P230" s="28">
        <f t="shared" si="24"/>
        <v>-1.7490548883948298E-3</v>
      </c>
      <c r="R230" s="24">
        <v>44333</v>
      </c>
      <c r="S230" s="233">
        <v>506.72000100000002</v>
      </c>
      <c r="T230" s="28">
        <f t="shared" si="25"/>
        <v>-1.9163009747619197E-2</v>
      </c>
      <c r="V230" s="24">
        <v>44333</v>
      </c>
      <c r="W230" s="25">
        <v>157.490387</v>
      </c>
      <c r="X230" s="28">
        <f t="shared" si="26"/>
        <v>4.3473484902956105E-3</v>
      </c>
      <c r="Z230" s="24">
        <v>44333</v>
      </c>
      <c r="AA230" s="27">
        <v>4155.8599999999997</v>
      </c>
      <c r="AB230" s="28">
        <f t="shared" si="27"/>
        <v>-4.3101692681818404E-3</v>
      </c>
    </row>
    <row r="231" spans="2:28" x14ac:dyDescent="0.35">
      <c r="B231" s="24">
        <v>44340</v>
      </c>
      <c r="C231" s="25">
        <v>217.676254</v>
      </c>
      <c r="D231" s="28">
        <f t="shared" si="21"/>
        <v>-5.2069547032469354E-2</v>
      </c>
      <c r="F231" s="24">
        <v>44340</v>
      </c>
      <c r="G231" s="25">
        <v>101.360733</v>
      </c>
      <c r="H231" s="28">
        <f t="shared" si="22"/>
        <v>-2.5146498907159254E-2</v>
      </c>
      <c r="J231" s="24">
        <v>44340</v>
      </c>
      <c r="K231" s="233">
        <v>59.217480000000002</v>
      </c>
      <c r="L231" s="28">
        <f t="shared" si="23"/>
        <v>-1.983587693050648E-2</v>
      </c>
      <c r="N231" s="24">
        <v>44340</v>
      </c>
      <c r="O231" s="25">
        <v>34.729488000000003</v>
      </c>
      <c r="P231" s="28">
        <f t="shared" si="24"/>
        <v>-3.0538163094246062E-2</v>
      </c>
      <c r="R231" s="24">
        <v>44340</v>
      </c>
      <c r="S231" s="233">
        <v>502.42999300000002</v>
      </c>
      <c r="T231" s="28">
        <f t="shared" si="25"/>
        <v>-8.4662298538320524E-3</v>
      </c>
      <c r="V231" s="24">
        <v>44340</v>
      </c>
      <c r="W231" s="25">
        <v>155.91511499999999</v>
      </c>
      <c r="X231" s="28">
        <f t="shared" si="26"/>
        <v>-1.00023374760011E-2</v>
      </c>
      <c r="Z231" s="24">
        <v>44340</v>
      </c>
      <c r="AA231" s="27">
        <v>4204.1099999999997</v>
      </c>
      <c r="AB231" s="28">
        <f t="shared" si="27"/>
        <v>1.1610111986448013E-2</v>
      </c>
    </row>
    <row r="232" spans="2:28" x14ac:dyDescent="0.35">
      <c r="B232" s="24">
        <v>44347</v>
      </c>
      <c r="C232" s="25">
        <v>216.67906199999999</v>
      </c>
      <c r="D232" s="28">
        <f t="shared" si="21"/>
        <v>-4.5810784671074245E-3</v>
      </c>
      <c r="F232" s="24">
        <v>44347</v>
      </c>
      <c r="G232" s="25">
        <v>100.608597</v>
      </c>
      <c r="H232" s="28">
        <f t="shared" si="22"/>
        <v>-7.4203883273021853E-3</v>
      </c>
      <c r="J232" s="24">
        <v>44347</v>
      </c>
      <c r="K232" s="233">
        <v>58.514645000000002</v>
      </c>
      <c r="L232" s="28">
        <f t="shared" si="23"/>
        <v>-1.1868708361112312E-2</v>
      </c>
      <c r="N232" s="24">
        <v>44347</v>
      </c>
      <c r="O232" s="25">
        <v>35.106098000000003</v>
      </c>
      <c r="P232" s="28">
        <f t="shared" si="24"/>
        <v>1.0844098824606796E-2</v>
      </c>
      <c r="R232" s="24">
        <v>44347</v>
      </c>
      <c r="S232" s="233">
        <v>511.89001500000001</v>
      </c>
      <c r="T232" s="28">
        <f t="shared" si="25"/>
        <v>1.8828537571004444E-2</v>
      </c>
      <c r="V232" s="24">
        <v>44347</v>
      </c>
      <c r="W232" s="25">
        <v>153.84742700000001</v>
      </c>
      <c r="X232" s="28">
        <f t="shared" si="26"/>
        <v>-1.3261626366372292E-2</v>
      </c>
      <c r="Z232" s="24">
        <v>44347</v>
      </c>
      <c r="AA232" s="27">
        <v>4229.8900000000003</v>
      </c>
      <c r="AB232" s="28">
        <f t="shared" si="27"/>
        <v>6.1320945455758391E-3</v>
      </c>
    </row>
    <row r="233" spans="2:28" x14ac:dyDescent="0.35">
      <c r="B233" s="24">
        <v>44354</v>
      </c>
      <c r="C233" s="25">
        <v>222.09489400000001</v>
      </c>
      <c r="D233" s="28">
        <f t="shared" si="21"/>
        <v>2.49947177637313E-2</v>
      </c>
      <c r="F233" s="24">
        <v>44354</v>
      </c>
      <c r="G233" s="25">
        <v>103.348564</v>
      </c>
      <c r="H233" s="28">
        <f t="shared" si="22"/>
        <v>2.7233925148563598E-2</v>
      </c>
      <c r="J233" s="24">
        <v>44354</v>
      </c>
      <c r="K233" s="233">
        <v>60.677185000000001</v>
      </c>
      <c r="L233" s="28">
        <f t="shared" si="23"/>
        <v>3.6957243780595395E-2</v>
      </c>
      <c r="N233" s="24">
        <v>44354</v>
      </c>
      <c r="O233" s="25">
        <v>36.002808000000002</v>
      </c>
      <c r="P233" s="28">
        <f t="shared" si="24"/>
        <v>2.5542855830915645E-2</v>
      </c>
      <c r="R233" s="24">
        <v>44354</v>
      </c>
      <c r="S233" s="233">
        <v>525.54998799999998</v>
      </c>
      <c r="T233" s="28">
        <f t="shared" si="25"/>
        <v>2.6685367168179708E-2</v>
      </c>
      <c r="V233" s="24">
        <v>44354</v>
      </c>
      <c r="W233" s="25">
        <v>152.911179</v>
      </c>
      <c r="X233" s="28">
        <f t="shared" si="26"/>
        <v>-6.0855616389347E-3</v>
      </c>
      <c r="Z233" s="24">
        <v>44354</v>
      </c>
      <c r="AA233" s="27">
        <v>4247.4399999999996</v>
      </c>
      <c r="AB233" s="28">
        <f t="shared" si="27"/>
        <v>4.1490440649754046E-3</v>
      </c>
    </row>
    <row r="234" spans="2:28" x14ac:dyDescent="0.35">
      <c r="B234" s="24">
        <v>44361</v>
      </c>
      <c r="C234" s="25">
        <v>218.35320999999999</v>
      </c>
      <c r="D234" s="28">
        <f t="shared" si="21"/>
        <v>-1.6847231075920233E-2</v>
      </c>
      <c r="F234" s="24">
        <v>44361</v>
      </c>
      <c r="G234" s="25">
        <v>101.289101</v>
      </c>
      <c r="H234" s="28">
        <f t="shared" si="22"/>
        <v>-1.9927349933957395E-2</v>
      </c>
      <c r="J234" s="24">
        <v>44361</v>
      </c>
      <c r="K234" s="233">
        <v>59.893272000000003</v>
      </c>
      <c r="L234" s="28">
        <f t="shared" si="23"/>
        <v>-1.2919402902425325E-2</v>
      </c>
      <c r="N234" s="24">
        <v>44361</v>
      </c>
      <c r="O234" s="25">
        <v>34.801212</v>
      </c>
      <c r="P234" s="28">
        <f t="shared" si="24"/>
        <v>-3.3375063411720585E-2</v>
      </c>
      <c r="R234" s="24">
        <v>44361</v>
      </c>
      <c r="S234" s="233">
        <v>537.919983</v>
      </c>
      <c r="T234" s="28">
        <f t="shared" si="25"/>
        <v>2.3537237717528026E-2</v>
      </c>
      <c r="V234" s="24">
        <v>44361</v>
      </c>
      <c r="W234" s="25">
        <v>150.14883399999999</v>
      </c>
      <c r="X234" s="28">
        <f t="shared" si="26"/>
        <v>-1.8065029764763096E-2</v>
      </c>
      <c r="Z234" s="24">
        <v>44361</v>
      </c>
      <c r="AA234" s="27">
        <v>4166.45</v>
      </c>
      <c r="AB234" s="28">
        <f t="shared" si="27"/>
        <v>-1.9067956227751259E-2</v>
      </c>
    </row>
    <row r="235" spans="2:28" x14ac:dyDescent="0.35">
      <c r="B235" s="24">
        <v>44368</v>
      </c>
      <c r="C235" s="25">
        <v>222.01258899999999</v>
      </c>
      <c r="D235" s="28">
        <f t="shared" si="21"/>
        <v>1.6758988796180319E-2</v>
      </c>
      <c r="F235" s="24">
        <v>44368</v>
      </c>
      <c r="G235" s="25">
        <v>101.163765</v>
      </c>
      <c r="H235" s="28">
        <f t="shared" si="22"/>
        <v>-1.2374085539569313E-3</v>
      </c>
      <c r="J235" s="24">
        <v>44368</v>
      </c>
      <c r="K235" s="233">
        <v>60.136558999999998</v>
      </c>
      <c r="L235" s="28">
        <f t="shared" si="23"/>
        <v>4.0620088346483563E-3</v>
      </c>
      <c r="N235" s="24">
        <v>44368</v>
      </c>
      <c r="O235" s="25">
        <v>34.953654999999998</v>
      </c>
      <c r="P235" s="28">
        <f t="shared" si="24"/>
        <v>4.3803934184820648E-3</v>
      </c>
      <c r="R235" s="24">
        <v>44368</v>
      </c>
      <c r="S235" s="233">
        <v>550.54998799999998</v>
      </c>
      <c r="T235" s="28">
        <f t="shared" si="25"/>
        <v>2.3479337818167689E-2</v>
      </c>
      <c r="V235" s="24">
        <v>44368</v>
      </c>
      <c r="W235" s="25">
        <v>152.21598800000001</v>
      </c>
      <c r="X235" s="28">
        <f t="shared" si="26"/>
        <v>1.37673663186757E-2</v>
      </c>
      <c r="Z235" s="24">
        <v>44368</v>
      </c>
      <c r="AA235" s="27">
        <v>4280.7</v>
      </c>
      <c r="AB235" s="28">
        <f t="shared" si="27"/>
        <v>2.7421425914147646E-2</v>
      </c>
    </row>
    <row r="236" spans="2:28" x14ac:dyDescent="0.35">
      <c r="B236" s="24">
        <v>44375</v>
      </c>
      <c r="C236" s="25">
        <v>227.519882</v>
      </c>
      <c r="D236" s="28">
        <f t="shared" si="21"/>
        <v>2.4806219434700738E-2</v>
      </c>
      <c r="F236" s="24">
        <v>44375</v>
      </c>
      <c r="G236" s="25">
        <v>103.124702</v>
      </c>
      <c r="H236" s="28">
        <f t="shared" si="22"/>
        <v>1.9383788256595702E-2</v>
      </c>
      <c r="J236" s="24">
        <v>44375</v>
      </c>
      <c r="K236" s="233">
        <v>60.325775</v>
      </c>
      <c r="L236" s="28">
        <f t="shared" si="23"/>
        <v>3.1464387578279407E-3</v>
      </c>
      <c r="N236" s="24">
        <v>44375</v>
      </c>
      <c r="O236" s="25">
        <v>35.626190000000001</v>
      </c>
      <c r="P236" s="28">
        <f t="shared" si="24"/>
        <v>1.9240763233487446E-2</v>
      </c>
      <c r="R236" s="24">
        <v>44375</v>
      </c>
      <c r="S236" s="233">
        <v>583.64001499999995</v>
      </c>
      <c r="T236" s="28">
        <f t="shared" si="25"/>
        <v>6.0103583182713471E-2</v>
      </c>
      <c r="V236" s="24">
        <v>44375</v>
      </c>
      <c r="W236" s="25">
        <v>156.637573</v>
      </c>
      <c r="X236" s="28">
        <f t="shared" si="26"/>
        <v>2.9048098416573742E-2</v>
      </c>
      <c r="Z236" s="24">
        <v>44375</v>
      </c>
      <c r="AA236" s="27">
        <v>4352.34</v>
      </c>
      <c r="AB236" s="28">
        <f t="shared" si="27"/>
        <v>1.6735580629336333E-2</v>
      </c>
    </row>
    <row r="237" spans="2:28" x14ac:dyDescent="0.35">
      <c r="B237" s="24">
        <v>44382</v>
      </c>
      <c r="C237" s="25">
        <v>224.317947</v>
      </c>
      <c r="D237" s="28">
        <f t="shared" si="21"/>
        <v>-1.4073209654706043E-2</v>
      </c>
      <c r="F237" s="24">
        <v>44382</v>
      </c>
      <c r="G237" s="25">
        <v>104.38724499999999</v>
      </c>
      <c r="H237" s="28">
        <f t="shared" si="22"/>
        <v>1.2242876590324636E-2</v>
      </c>
      <c r="J237" s="24">
        <v>44382</v>
      </c>
      <c r="K237" s="233">
        <v>60.962048000000003</v>
      </c>
      <c r="L237" s="28">
        <f t="shared" si="23"/>
        <v>1.0547282649912226E-2</v>
      </c>
      <c r="N237" s="24">
        <v>44382</v>
      </c>
      <c r="O237" s="25">
        <v>35.518585000000002</v>
      </c>
      <c r="P237" s="28">
        <f t="shared" si="24"/>
        <v>-3.0203903364350859E-3</v>
      </c>
      <c r="R237" s="24">
        <v>44382</v>
      </c>
      <c r="S237" s="233">
        <v>580.40002400000003</v>
      </c>
      <c r="T237" s="28">
        <f t="shared" si="25"/>
        <v>-5.5513517180618699E-3</v>
      </c>
      <c r="V237" s="24">
        <v>44382</v>
      </c>
      <c r="W237" s="25">
        <v>157.35131799999999</v>
      </c>
      <c r="X237" s="28">
        <f t="shared" si="26"/>
        <v>4.5566653410800129E-3</v>
      </c>
      <c r="Z237" s="24">
        <v>44382</v>
      </c>
      <c r="AA237" s="27">
        <v>4369.55</v>
      </c>
      <c r="AB237" s="28">
        <f t="shared" si="27"/>
        <v>3.954194755005469E-3</v>
      </c>
    </row>
    <row r="238" spans="2:28" x14ac:dyDescent="0.35">
      <c r="B238" s="24">
        <v>44389</v>
      </c>
      <c r="C238" s="25">
        <v>226.84291099999999</v>
      </c>
      <c r="D238" s="28">
        <f t="shared" si="21"/>
        <v>1.1256183616908721E-2</v>
      </c>
      <c r="F238" s="24">
        <v>44389</v>
      </c>
      <c r="G238" s="25">
        <v>105.211006</v>
      </c>
      <c r="H238" s="28">
        <f t="shared" si="22"/>
        <v>7.8913951603953869E-3</v>
      </c>
      <c r="J238" s="24">
        <v>44389</v>
      </c>
      <c r="K238" s="233">
        <v>61.089126999999998</v>
      </c>
      <c r="L238" s="28">
        <f t="shared" si="23"/>
        <v>2.0845592326557139E-3</v>
      </c>
      <c r="N238" s="24">
        <v>44389</v>
      </c>
      <c r="O238" s="25">
        <v>36.182152000000002</v>
      </c>
      <c r="P238" s="28">
        <f t="shared" si="24"/>
        <v>1.8682247617690884E-2</v>
      </c>
      <c r="R238" s="24">
        <v>44389</v>
      </c>
      <c r="S238" s="233">
        <v>583.23999000000003</v>
      </c>
      <c r="T238" s="28">
        <f t="shared" si="25"/>
        <v>4.8931183366043296E-3</v>
      </c>
      <c r="V238" s="24">
        <v>44389</v>
      </c>
      <c r="W238" s="25">
        <v>155.82188400000001</v>
      </c>
      <c r="X238" s="28">
        <f t="shared" si="26"/>
        <v>-9.7198677420673452E-3</v>
      </c>
      <c r="Z238" s="24">
        <v>44389</v>
      </c>
      <c r="AA238" s="27">
        <v>4327.16</v>
      </c>
      <c r="AB238" s="28">
        <f t="shared" si="27"/>
        <v>-9.7012278152213138E-3</v>
      </c>
    </row>
    <row r="239" spans="2:28" x14ac:dyDescent="0.35">
      <c r="B239" s="24">
        <v>44396</v>
      </c>
      <c r="C239" s="25">
        <v>226.62333699999999</v>
      </c>
      <c r="D239" s="28">
        <f t="shared" si="21"/>
        <v>-9.6795619061684768E-4</v>
      </c>
      <c r="F239" s="24">
        <v>44396</v>
      </c>
      <c r="G239" s="25">
        <v>107.008667</v>
      </c>
      <c r="H239" s="28">
        <f t="shared" si="22"/>
        <v>1.7086244760362801E-2</v>
      </c>
      <c r="J239" s="24">
        <v>44396</v>
      </c>
      <c r="K239" s="233">
        <v>62.033133999999997</v>
      </c>
      <c r="L239" s="28">
        <f t="shared" si="23"/>
        <v>1.5452946315634764E-2</v>
      </c>
      <c r="N239" s="24">
        <v>44396</v>
      </c>
      <c r="O239" s="25">
        <v>37.374771000000003</v>
      </c>
      <c r="P239" s="28">
        <f t="shared" si="24"/>
        <v>3.2961527550931846E-2</v>
      </c>
      <c r="R239" s="24">
        <v>44396</v>
      </c>
      <c r="S239" s="233">
        <v>586.34997599999997</v>
      </c>
      <c r="T239" s="28">
        <f t="shared" si="25"/>
        <v>5.3322578240904139E-3</v>
      </c>
      <c r="V239" s="24">
        <v>44396</v>
      </c>
      <c r="W239" s="25">
        <v>159.24232499999999</v>
      </c>
      <c r="X239" s="28">
        <f t="shared" si="26"/>
        <v>2.1950966784614057E-2</v>
      </c>
      <c r="Z239" s="24">
        <v>44396</v>
      </c>
      <c r="AA239" s="27">
        <v>4411.79</v>
      </c>
      <c r="AB239" s="28">
        <f t="shared" si="27"/>
        <v>1.9557862431710538E-2</v>
      </c>
    </row>
    <row r="240" spans="2:28" x14ac:dyDescent="0.35">
      <c r="B240" s="24">
        <v>44403</v>
      </c>
      <c r="C240" s="25">
        <v>220.96961999999999</v>
      </c>
      <c r="D240" s="28">
        <f t="shared" si="21"/>
        <v>-2.4947638115486725E-2</v>
      </c>
      <c r="F240" s="24">
        <v>44403</v>
      </c>
      <c r="G240" s="25">
        <v>105.297478</v>
      </c>
      <c r="H240" s="28">
        <f t="shared" si="22"/>
        <v>-1.5991125279600005E-2</v>
      </c>
      <c r="J240" s="24">
        <v>44403</v>
      </c>
      <c r="K240" s="233">
        <v>61.606518000000001</v>
      </c>
      <c r="L240" s="28">
        <f t="shared" si="23"/>
        <v>-6.8772279021078742E-3</v>
      </c>
      <c r="N240" s="24">
        <v>44403</v>
      </c>
      <c r="O240" s="25">
        <v>38.38805</v>
      </c>
      <c r="P240" s="28">
        <f t="shared" si="24"/>
        <v>2.7111309926153071E-2</v>
      </c>
      <c r="R240" s="24">
        <v>44403</v>
      </c>
      <c r="S240" s="233">
        <v>574.60998500000005</v>
      </c>
      <c r="T240" s="28">
        <f t="shared" si="25"/>
        <v>-2.0022156528577972E-2</v>
      </c>
      <c r="V240" s="24">
        <v>44403</v>
      </c>
      <c r="W240" s="25">
        <v>159.62237500000001</v>
      </c>
      <c r="X240" s="28">
        <f t="shared" si="26"/>
        <v>2.3866142371382626E-3</v>
      </c>
      <c r="Z240" s="24">
        <v>44403</v>
      </c>
      <c r="AA240" s="27">
        <v>4395.26</v>
      </c>
      <c r="AB240" s="28">
        <f t="shared" si="27"/>
        <v>-3.7467785184697178E-3</v>
      </c>
    </row>
    <row r="241" spans="2:28" x14ac:dyDescent="0.35">
      <c r="B241" s="24">
        <v>44410</v>
      </c>
      <c r="C241" s="25">
        <v>210.54965200000001</v>
      </c>
      <c r="D241" s="28">
        <f t="shared" si="21"/>
        <v>-4.7155658773364362E-2</v>
      </c>
      <c r="F241" s="24">
        <v>44410</v>
      </c>
      <c r="G241" s="25">
        <v>103.62247499999999</v>
      </c>
      <c r="H241" s="28">
        <f t="shared" si="22"/>
        <v>-1.5907342054289342E-2</v>
      </c>
      <c r="J241" s="24">
        <v>44410</v>
      </c>
      <c r="K241" s="233">
        <v>61.833454000000003</v>
      </c>
      <c r="L241" s="28">
        <f t="shared" si="23"/>
        <v>3.6836362022603097E-3</v>
      </c>
      <c r="N241" s="24">
        <v>44410</v>
      </c>
      <c r="O241" s="25">
        <v>40.780655000000003</v>
      </c>
      <c r="P241" s="28">
        <f t="shared" si="24"/>
        <v>6.2326817850867799E-2</v>
      </c>
      <c r="R241" s="24">
        <v>44410</v>
      </c>
      <c r="S241" s="233">
        <v>610.85998500000005</v>
      </c>
      <c r="T241" s="28">
        <f t="shared" si="25"/>
        <v>6.3086268854168903E-2</v>
      </c>
      <c r="V241" s="24">
        <v>44410</v>
      </c>
      <c r="W241" s="25">
        <v>160.46594200000001</v>
      </c>
      <c r="X241" s="28">
        <f t="shared" si="26"/>
        <v>5.2847666249797864E-3</v>
      </c>
      <c r="Z241" s="24">
        <v>44410</v>
      </c>
      <c r="AA241" s="27">
        <v>4436.5200000000004</v>
      </c>
      <c r="AB241" s="28">
        <f t="shared" si="27"/>
        <v>9.3873855016541885E-3</v>
      </c>
    </row>
    <row r="242" spans="2:28" x14ac:dyDescent="0.35">
      <c r="B242" s="24">
        <v>44417</v>
      </c>
      <c r="C242" s="25">
        <v>210.11968999999999</v>
      </c>
      <c r="D242" s="28">
        <f t="shared" si="21"/>
        <v>-2.0420931401017306E-3</v>
      </c>
      <c r="F242" s="24">
        <v>44417</v>
      </c>
      <c r="G242" s="25">
        <v>105.460426</v>
      </c>
      <c r="H242" s="28">
        <f t="shared" si="22"/>
        <v>1.7736991902577159E-2</v>
      </c>
      <c r="J242" s="24">
        <v>44417</v>
      </c>
      <c r="K242" s="233">
        <v>61.279743000000003</v>
      </c>
      <c r="L242" s="28">
        <f t="shared" si="23"/>
        <v>-8.9548774034198253E-3</v>
      </c>
      <c r="N242" s="24">
        <v>44417</v>
      </c>
      <c r="O242" s="25">
        <v>43.866112000000001</v>
      </c>
      <c r="P242" s="28">
        <f t="shared" si="24"/>
        <v>7.5659819588478783E-2</v>
      </c>
      <c r="R242" s="24">
        <v>44417</v>
      </c>
      <c r="S242" s="233">
        <v>624.78997800000002</v>
      </c>
      <c r="T242" s="28">
        <f t="shared" si="25"/>
        <v>2.2803904891560256E-2</v>
      </c>
      <c r="V242" s="24">
        <v>44417</v>
      </c>
      <c r="W242" s="25">
        <v>163.37657200000001</v>
      </c>
      <c r="X242" s="28">
        <f t="shared" si="26"/>
        <v>1.8138615358017862E-2</v>
      </c>
      <c r="Z242" s="24">
        <v>44417</v>
      </c>
      <c r="AA242" s="27">
        <v>4468</v>
      </c>
      <c r="AB242" s="28">
        <f t="shared" si="27"/>
        <v>7.0956515467077708E-3</v>
      </c>
    </row>
    <row r="243" spans="2:28" x14ac:dyDescent="0.35">
      <c r="B243" s="24">
        <v>44424</v>
      </c>
      <c r="C243" s="25">
        <v>204.493439</v>
      </c>
      <c r="D243" s="28">
        <f t="shared" si="21"/>
        <v>-2.6776410149853103E-2</v>
      </c>
      <c r="F243" s="24">
        <v>44424</v>
      </c>
      <c r="G243" s="25">
        <v>107.57905599999999</v>
      </c>
      <c r="H243" s="28">
        <f t="shared" si="22"/>
        <v>2.0089336638939859E-2</v>
      </c>
      <c r="J243" s="24">
        <v>44424</v>
      </c>
      <c r="K243" s="233">
        <v>62.813782000000003</v>
      </c>
      <c r="L243" s="28">
        <f t="shared" si="23"/>
        <v>2.5033378485285196E-2</v>
      </c>
      <c r="N243" s="24">
        <v>44424</v>
      </c>
      <c r="O243" s="25">
        <v>44.083275</v>
      </c>
      <c r="P243" s="28">
        <f t="shared" si="24"/>
        <v>4.9505869131962754E-3</v>
      </c>
      <c r="R243" s="24">
        <v>44424</v>
      </c>
      <c r="S243" s="233">
        <v>663.27002000000005</v>
      </c>
      <c r="T243" s="28">
        <f t="shared" si="25"/>
        <v>6.1588763192357066E-2</v>
      </c>
      <c r="V243" s="24">
        <v>44424</v>
      </c>
      <c r="W243" s="25">
        <v>166.33358799999999</v>
      </c>
      <c r="X243" s="28">
        <f t="shared" si="26"/>
        <v>1.809938820359136E-2</v>
      </c>
      <c r="Z243" s="24">
        <v>44424</v>
      </c>
      <c r="AA243" s="27">
        <v>4441.67</v>
      </c>
      <c r="AB243" s="28">
        <f t="shared" si="27"/>
        <v>-5.8930170098477896E-3</v>
      </c>
    </row>
    <row r="244" spans="2:28" x14ac:dyDescent="0.35">
      <c r="B244" s="24">
        <v>44431</v>
      </c>
      <c r="C244" s="25">
        <v>205.38110399999999</v>
      </c>
      <c r="D244" s="28">
        <f t="shared" si="21"/>
        <v>4.3407994131292593E-3</v>
      </c>
      <c r="F244" s="24">
        <v>44431</v>
      </c>
      <c r="G244" s="25">
        <v>108.267151</v>
      </c>
      <c r="H244" s="28">
        <f t="shared" si="22"/>
        <v>6.3961799404523845E-3</v>
      </c>
      <c r="J244" s="24">
        <v>44431</v>
      </c>
      <c r="K244" s="233">
        <v>60.453719999999997</v>
      </c>
      <c r="L244" s="28">
        <f t="shared" si="23"/>
        <v>-3.7572359518170839E-2</v>
      </c>
      <c r="N244" s="24">
        <v>44431</v>
      </c>
      <c r="O244" s="25">
        <v>42.165039</v>
      </c>
      <c r="P244" s="28">
        <f t="shared" si="24"/>
        <v>-4.3513917693274839E-2</v>
      </c>
      <c r="R244" s="24">
        <v>44431</v>
      </c>
      <c r="S244" s="233">
        <v>663.28997800000002</v>
      </c>
      <c r="T244" s="28">
        <f t="shared" si="25"/>
        <v>3.0090309222741141E-5</v>
      </c>
      <c r="V244" s="24">
        <v>44431</v>
      </c>
      <c r="W244" s="25">
        <v>160.299072</v>
      </c>
      <c r="X244" s="28">
        <f t="shared" si="26"/>
        <v>-3.6279599764300174E-2</v>
      </c>
      <c r="Z244" s="24">
        <v>44431</v>
      </c>
      <c r="AA244" s="27">
        <v>4509.37</v>
      </c>
      <c r="AB244" s="28">
        <f t="shared" si="27"/>
        <v>1.5242014827756112E-2</v>
      </c>
    </row>
    <row r="245" spans="2:28" x14ac:dyDescent="0.35">
      <c r="B245" s="24">
        <v>44438</v>
      </c>
      <c r="C245" s="25">
        <v>208.69073499999999</v>
      </c>
      <c r="D245" s="28">
        <f t="shared" si="21"/>
        <v>1.61145837447636E-2</v>
      </c>
      <c r="F245" s="24">
        <v>44438</v>
      </c>
      <c r="G245" s="25">
        <v>101.060219</v>
      </c>
      <c r="H245" s="28">
        <f t="shared" si="22"/>
        <v>-6.6566192362446097E-2</v>
      </c>
      <c r="J245" s="24">
        <v>44438</v>
      </c>
      <c r="K245" s="233">
        <v>59.555087999999998</v>
      </c>
      <c r="L245" s="28">
        <f t="shared" si="23"/>
        <v>-1.486479243957195E-2</v>
      </c>
      <c r="N245" s="24">
        <v>44438</v>
      </c>
      <c r="O245" s="25">
        <v>42.382198000000002</v>
      </c>
      <c r="P245" s="28">
        <f t="shared" si="24"/>
        <v>5.150214612632098E-3</v>
      </c>
      <c r="R245" s="24">
        <v>44438</v>
      </c>
      <c r="S245" s="233">
        <v>679.57000700000003</v>
      </c>
      <c r="T245" s="28">
        <f t="shared" si="25"/>
        <v>2.4544361500966394E-2</v>
      </c>
      <c r="V245" s="24">
        <v>44438</v>
      </c>
      <c r="W245" s="25">
        <v>163.21914699999999</v>
      </c>
      <c r="X245" s="28">
        <f t="shared" si="26"/>
        <v>1.8216418620314867E-2</v>
      </c>
      <c r="Z245" s="24">
        <v>44438</v>
      </c>
      <c r="AA245" s="27">
        <v>4535.43</v>
      </c>
      <c r="AB245" s="28">
        <f t="shared" si="27"/>
        <v>5.7790777869193288E-3</v>
      </c>
    </row>
    <row r="246" spans="2:28" x14ac:dyDescent="0.35">
      <c r="B246" s="24">
        <v>44445</v>
      </c>
      <c r="C246" s="25">
        <v>197.05633499999999</v>
      </c>
      <c r="D246" s="28">
        <f t="shared" si="21"/>
        <v>-5.574948020572168E-2</v>
      </c>
      <c r="F246" s="24">
        <v>44445</v>
      </c>
      <c r="G246" s="25">
        <v>96.587569999999999</v>
      </c>
      <c r="H246" s="28">
        <f t="shared" si="22"/>
        <v>-4.4257266056389688E-2</v>
      </c>
      <c r="J246" s="24">
        <v>44445</v>
      </c>
      <c r="K246" s="233">
        <v>57.303955000000002</v>
      </c>
      <c r="L246" s="28">
        <f t="shared" si="23"/>
        <v>-3.7799171751706551E-2</v>
      </c>
      <c r="N246" s="24">
        <v>44445</v>
      </c>
      <c r="O246" s="25">
        <v>41.251162999999998</v>
      </c>
      <c r="P246" s="28">
        <f t="shared" si="24"/>
        <v>-2.6686558351692979E-2</v>
      </c>
      <c r="R246" s="24">
        <v>44445</v>
      </c>
      <c r="S246" s="233">
        <v>650.48999000000003</v>
      </c>
      <c r="T246" s="28">
        <f t="shared" si="25"/>
        <v>-4.2791789956086124E-2</v>
      </c>
      <c r="V246" s="24">
        <v>44445</v>
      </c>
      <c r="W246" s="25">
        <v>155.694107</v>
      </c>
      <c r="X246" s="28">
        <f t="shared" si="26"/>
        <v>-4.6103904709169918E-2</v>
      </c>
      <c r="Z246" s="24">
        <v>44445</v>
      </c>
      <c r="AA246" s="27">
        <v>4458.58</v>
      </c>
      <c r="AB246" s="28">
        <f t="shared" si="27"/>
        <v>-1.6944369111638879E-2</v>
      </c>
    </row>
    <row r="247" spans="2:28" x14ac:dyDescent="0.35">
      <c r="B247" s="24">
        <v>44452</v>
      </c>
      <c r="C247" s="25">
        <v>202.246658</v>
      </c>
      <c r="D247" s="28">
        <f t="shared" si="21"/>
        <v>2.6339285159241443E-2</v>
      </c>
      <c r="F247" s="24">
        <v>44452</v>
      </c>
      <c r="G247" s="25">
        <v>97.538223000000002</v>
      </c>
      <c r="H247" s="28">
        <f t="shared" si="22"/>
        <v>9.8423948340351508E-3</v>
      </c>
      <c r="J247" s="24">
        <v>44452</v>
      </c>
      <c r="K247" s="233">
        <v>55.651916999999997</v>
      </c>
      <c r="L247" s="28">
        <f t="shared" si="23"/>
        <v>-2.8829388826652647E-2</v>
      </c>
      <c r="N247" s="24">
        <v>44452</v>
      </c>
      <c r="O247" s="25">
        <v>39.712952000000001</v>
      </c>
      <c r="P247" s="28">
        <f t="shared" si="24"/>
        <v>-3.7288912315029732E-2</v>
      </c>
      <c r="R247" s="24">
        <v>44452</v>
      </c>
      <c r="S247" s="233">
        <v>651.88000499999998</v>
      </c>
      <c r="T247" s="28">
        <f t="shared" si="25"/>
        <v>2.1368737741835897E-3</v>
      </c>
      <c r="V247" s="24">
        <v>44452</v>
      </c>
      <c r="W247" s="25">
        <v>153.62402299999999</v>
      </c>
      <c r="X247" s="28">
        <f t="shared" si="26"/>
        <v>-1.3295840413536042E-2</v>
      </c>
      <c r="Z247" s="24">
        <v>44452</v>
      </c>
      <c r="AA247" s="27">
        <v>4432.99</v>
      </c>
      <c r="AB247" s="28">
        <f t="shared" si="27"/>
        <v>-5.7394955344527432E-3</v>
      </c>
    </row>
    <row r="248" spans="2:28" x14ac:dyDescent="0.35">
      <c r="B248" s="24">
        <v>44459</v>
      </c>
      <c r="C248" s="25">
        <v>196.927277</v>
      </c>
      <c r="D248" s="28">
        <f t="shared" si="21"/>
        <v>-2.6301453149351839E-2</v>
      </c>
      <c r="F248" s="24">
        <v>44459</v>
      </c>
      <c r="G248" s="25">
        <v>96.940658999999997</v>
      </c>
      <c r="H248" s="28">
        <f t="shared" si="22"/>
        <v>-6.126459777722304E-3</v>
      </c>
      <c r="J248" s="24">
        <v>44459</v>
      </c>
      <c r="K248" s="233">
        <v>54.671585</v>
      </c>
      <c r="L248" s="28">
        <f t="shared" si="23"/>
        <v>-1.7615421944943921E-2</v>
      </c>
      <c r="N248" s="24">
        <v>44459</v>
      </c>
      <c r="O248" s="25">
        <v>39.758186000000002</v>
      </c>
      <c r="P248" s="28">
        <f t="shared" si="24"/>
        <v>1.1390238630459848E-3</v>
      </c>
      <c r="R248" s="24">
        <v>44459</v>
      </c>
      <c r="S248" s="233">
        <v>638.90002400000003</v>
      </c>
      <c r="T248" s="28">
        <f t="shared" si="25"/>
        <v>-1.9911610879980834E-2</v>
      </c>
      <c r="V248" s="24">
        <v>44459</v>
      </c>
      <c r="W248" s="25">
        <v>153.26036099999999</v>
      </c>
      <c r="X248" s="28">
        <f t="shared" si="26"/>
        <v>-2.367220913099044E-3</v>
      </c>
      <c r="Z248" s="24">
        <v>44459</v>
      </c>
      <c r="AA248" s="27">
        <v>4455.4799999999996</v>
      </c>
      <c r="AB248" s="28">
        <f t="shared" si="27"/>
        <v>5.0733252274424157E-3</v>
      </c>
    </row>
    <row r="249" spans="2:28" x14ac:dyDescent="0.35">
      <c r="B249" s="24">
        <v>44466</v>
      </c>
      <c r="C249" s="25">
        <v>197.21307400000001</v>
      </c>
      <c r="D249" s="28">
        <f t="shared" si="21"/>
        <v>1.4512819369354446E-3</v>
      </c>
      <c r="F249" s="24">
        <v>44466</v>
      </c>
      <c r="G249" s="25">
        <v>98.769561999999993</v>
      </c>
      <c r="H249" s="28">
        <f t="shared" si="22"/>
        <v>1.8866211751252804E-2</v>
      </c>
      <c r="J249" s="24">
        <v>44466</v>
      </c>
      <c r="K249" s="233">
        <v>54.018036000000002</v>
      </c>
      <c r="L249" s="28">
        <f t="shared" si="23"/>
        <v>-1.1954089130578494E-2</v>
      </c>
      <c r="N249" s="24">
        <v>44466</v>
      </c>
      <c r="O249" s="25">
        <v>38.844318000000001</v>
      </c>
      <c r="P249" s="28">
        <f t="shared" si="24"/>
        <v>-2.2985656337540128E-2</v>
      </c>
      <c r="R249" s="24">
        <v>44466</v>
      </c>
      <c r="S249" s="233">
        <v>570.78997800000002</v>
      </c>
      <c r="T249" s="28">
        <f t="shared" si="25"/>
        <v>-0.10660517051412732</v>
      </c>
      <c r="V249" s="24">
        <v>44466</v>
      </c>
      <c r="W249" s="25">
        <v>149.633072</v>
      </c>
      <c r="X249" s="28">
        <f t="shared" si="26"/>
        <v>-2.3667496124454401E-2</v>
      </c>
      <c r="Z249" s="24">
        <v>44466</v>
      </c>
      <c r="AA249" s="27">
        <v>4357.04</v>
      </c>
      <c r="AB249" s="28">
        <f t="shared" si="27"/>
        <v>-2.2094140249759753E-2</v>
      </c>
    </row>
    <row r="250" spans="2:28" x14ac:dyDescent="0.35">
      <c r="B250" s="24">
        <v>44473</v>
      </c>
      <c r="C250" s="25">
        <v>192.63121000000001</v>
      </c>
      <c r="D250" s="28">
        <f t="shared" si="21"/>
        <v>-2.3233064152734628E-2</v>
      </c>
      <c r="F250" s="24">
        <v>44473</v>
      </c>
      <c r="G250" s="25">
        <v>100.661835</v>
      </c>
      <c r="H250" s="28">
        <f t="shared" si="22"/>
        <v>1.9158463009079751E-2</v>
      </c>
      <c r="J250" s="24">
        <v>44473</v>
      </c>
      <c r="K250" s="233">
        <v>52.399231</v>
      </c>
      <c r="L250" s="28">
        <f t="shared" si="23"/>
        <v>-2.9967861104761462E-2</v>
      </c>
      <c r="N250" s="24">
        <v>44473</v>
      </c>
      <c r="O250" s="25">
        <v>38.410007</v>
      </c>
      <c r="P250" s="28">
        <f t="shared" si="24"/>
        <v>-1.1180811566829485E-2</v>
      </c>
      <c r="R250" s="24">
        <v>44473</v>
      </c>
      <c r="S250" s="233">
        <v>550.02002000000005</v>
      </c>
      <c r="T250" s="28">
        <f t="shared" si="25"/>
        <v>-3.6388091593297034E-2</v>
      </c>
      <c r="V250" s="24">
        <v>44473</v>
      </c>
      <c r="W250" s="25">
        <v>150.06199599999999</v>
      </c>
      <c r="X250" s="28">
        <f t="shared" si="26"/>
        <v>2.8665053404770546E-3</v>
      </c>
      <c r="Z250" s="24">
        <v>44473</v>
      </c>
      <c r="AA250" s="27">
        <v>4391.34</v>
      </c>
      <c r="AB250" s="28">
        <f t="shared" si="27"/>
        <v>7.8723169858436748E-3</v>
      </c>
    </row>
    <row r="251" spans="2:28" x14ac:dyDescent="0.35">
      <c r="B251" s="24">
        <v>44480</v>
      </c>
      <c r="C251" s="25">
        <v>191.60789500000001</v>
      </c>
      <c r="D251" s="28">
        <f t="shared" si="21"/>
        <v>-5.3123011582598689E-3</v>
      </c>
      <c r="F251" s="24">
        <v>44480</v>
      </c>
      <c r="G251" s="25">
        <v>98.986862000000002</v>
      </c>
      <c r="H251" s="28">
        <f t="shared" si="22"/>
        <v>-1.6639603281621063E-2</v>
      </c>
      <c r="J251" s="24">
        <v>44480</v>
      </c>
      <c r="K251" s="233">
        <v>53.405845999999997</v>
      </c>
      <c r="L251" s="28">
        <f t="shared" si="23"/>
        <v>1.9210491848630218E-2</v>
      </c>
      <c r="N251" s="24">
        <v>44480</v>
      </c>
      <c r="O251" s="25">
        <v>37.541359</v>
      </c>
      <c r="P251" s="28">
        <f t="shared" si="24"/>
        <v>-2.2615148182607681E-2</v>
      </c>
      <c r="R251" s="24">
        <v>44480</v>
      </c>
      <c r="S251" s="233">
        <v>553.23999000000003</v>
      </c>
      <c r="T251" s="28">
        <f t="shared" si="25"/>
        <v>5.85427781337855E-3</v>
      </c>
      <c r="V251" s="24">
        <v>44480</v>
      </c>
      <c r="W251" s="25">
        <v>150.40699799999999</v>
      </c>
      <c r="X251" s="28">
        <f t="shared" si="26"/>
        <v>2.2990631152206564E-3</v>
      </c>
      <c r="Z251" s="24">
        <v>44480</v>
      </c>
      <c r="AA251" s="27">
        <v>4471.37</v>
      </c>
      <c r="AB251" s="28">
        <f t="shared" si="27"/>
        <v>1.8224505504014665E-2</v>
      </c>
    </row>
    <row r="252" spans="2:28" x14ac:dyDescent="0.35">
      <c r="B252" s="24">
        <v>44487</v>
      </c>
      <c r="C252" s="25">
        <v>192.89859000000001</v>
      </c>
      <c r="D252" s="28">
        <f t="shared" si="21"/>
        <v>6.7361264002194776E-3</v>
      </c>
      <c r="F252" s="24">
        <v>44487</v>
      </c>
      <c r="G252" s="25">
        <v>100.012817</v>
      </c>
      <c r="H252" s="28">
        <f t="shared" si="22"/>
        <v>1.0364557268216057E-2</v>
      </c>
      <c r="J252" s="24">
        <v>44487</v>
      </c>
      <c r="K252" s="233">
        <v>52.710365000000003</v>
      </c>
      <c r="L252" s="28">
        <f t="shared" si="23"/>
        <v>-1.3022563110412944E-2</v>
      </c>
      <c r="N252" s="24">
        <v>44487</v>
      </c>
      <c r="O252" s="25">
        <v>39.052424999999999</v>
      </c>
      <c r="P252" s="28">
        <f t="shared" si="24"/>
        <v>4.0250700567339592E-2</v>
      </c>
      <c r="R252" s="24">
        <v>44487</v>
      </c>
      <c r="S252" s="233">
        <v>572.35998500000005</v>
      </c>
      <c r="T252" s="28">
        <f t="shared" si="25"/>
        <v>3.456003785988071E-2</v>
      </c>
      <c r="V252" s="24">
        <v>44487</v>
      </c>
      <c r="W252" s="25">
        <v>152.663589</v>
      </c>
      <c r="X252" s="28">
        <f t="shared" si="26"/>
        <v>1.5003231432090702E-2</v>
      </c>
      <c r="Z252" s="24">
        <v>44487</v>
      </c>
      <c r="AA252" s="27">
        <v>4544.8999999999996</v>
      </c>
      <c r="AB252" s="28">
        <f t="shared" si="27"/>
        <v>1.6444624354504223E-2</v>
      </c>
    </row>
    <row r="253" spans="2:28" x14ac:dyDescent="0.35">
      <c r="B253" s="24">
        <v>44494</v>
      </c>
      <c r="C253" s="25">
        <v>190.805847</v>
      </c>
      <c r="D253" s="28">
        <f t="shared" si="21"/>
        <v>-1.0848928444733619E-2</v>
      </c>
      <c r="F253" s="24">
        <v>44494</v>
      </c>
      <c r="G253" s="25">
        <v>105.08036</v>
      </c>
      <c r="H253" s="28">
        <f t="shared" si="22"/>
        <v>5.066893576250342E-2</v>
      </c>
      <c r="J253" s="24">
        <v>44494</v>
      </c>
      <c r="K253" s="233">
        <v>53.442458999999999</v>
      </c>
      <c r="L253" s="28">
        <f t="shared" si="23"/>
        <v>1.3888995077154132E-2</v>
      </c>
      <c r="N253" s="24">
        <v>44494</v>
      </c>
      <c r="O253" s="25">
        <v>39.577229000000003</v>
      </c>
      <c r="P253" s="28">
        <f t="shared" si="24"/>
        <v>1.343844844462283E-2</v>
      </c>
      <c r="R253" s="24">
        <v>44494</v>
      </c>
      <c r="S253" s="233">
        <v>639.94000200000005</v>
      </c>
      <c r="T253" s="28">
        <f t="shared" si="25"/>
        <v>0.11807257455288389</v>
      </c>
      <c r="V253" s="24">
        <v>44494</v>
      </c>
      <c r="W253" s="25">
        <v>151.880325</v>
      </c>
      <c r="X253" s="28">
        <f t="shared" si="26"/>
        <v>-5.1306536491815269E-3</v>
      </c>
      <c r="Z253" s="24">
        <v>44494</v>
      </c>
      <c r="AA253" s="27">
        <v>4605.38</v>
      </c>
      <c r="AB253" s="28">
        <f t="shared" si="27"/>
        <v>1.3307223481264785E-2</v>
      </c>
    </row>
    <row r="254" spans="2:28" x14ac:dyDescent="0.35">
      <c r="B254" s="24">
        <v>44501</v>
      </c>
      <c r="C254" s="25">
        <v>197.074783</v>
      </c>
      <c r="D254" s="28">
        <f t="shared" si="21"/>
        <v>3.285505186851001E-2</v>
      </c>
      <c r="F254" s="24">
        <v>44501</v>
      </c>
      <c r="G254" s="25">
        <v>107.380455</v>
      </c>
      <c r="H254" s="28">
        <f t="shared" si="22"/>
        <v>2.1888914350883359E-2</v>
      </c>
      <c r="J254" s="24">
        <v>44501</v>
      </c>
      <c r="K254" s="233">
        <v>54.403323999999998</v>
      </c>
      <c r="L254" s="28">
        <f t="shared" si="23"/>
        <v>1.7979430924014883E-2</v>
      </c>
      <c r="N254" s="24">
        <v>44501</v>
      </c>
      <c r="O254" s="25">
        <v>43.983745999999996</v>
      </c>
      <c r="P254" s="28">
        <f t="shared" si="24"/>
        <v>0.11133970496014234</v>
      </c>
      <c r="R254" s="24">
        <v>44501</v>
      </c>
      <c r="S254" s="233">
        <v>611.53997800000002</v>
      </c>
      <c r="T254" s="28">
        <f t="shared" si="25"/>
        <v>-4.4379197911119217E-2</v>
      </c>
      <c r="V254" s="24">
        <v>44501</v>
      </c>
      <c r="W254" s="25">
        <v>152.39317299999999</v>
      </c>
      <c r="X254" s="28">
        <f t="shared" si="26"/>
        <v>3.3766585632470925E-3</v>
      </c>
      <c r="Z254" s="24">
        <v>44501</v>
      </c>
      <c r="AA254" s="27">
        <v>4697.53</v>
      </c>
      <c r="AB254" s="28">
        <f t="shared" si="27"/>
        <v>2.0009206623557541E-2</v>
      </c>
    </row>
    <row r="255" spans="2:28" x14ac:dyDescent="0.35">
      <c r="B255" s="24">
        <v>44508</v>
      </c>
      <c r="C255" s="25">
        <v>194.880661</v>
      </c>
      <c r="D255" s="28">
        <f t="shared" si="21"/>
        <v>-1.1133448768024246E-2</v>
      </c>
      <c r="F255" s="24">
        <v>44508</v>
      </c>
      <c r="G255" s="25">
        <v>107.18800400000001</v>
      </c>
      <c r="H255" s="28">
        <f t="shared" si="22"/>
        <v>-1.7922349090436773E-3</v>
      </c>
      <c r="J255" s="24">
        <v>44508</v>
      </c>
      <c r="K255" s="233">
        <v>54.385016999999998</v>
      </c>
      <c r="L255" s="28">
        <f t="shared" si="23"/>
        <v>-3.3650517383831957E-4</v>
      </c>
      <c r="N255" s="24">
        <v>44508</v>
      </c>
      <c r="O255" s="25">
        <v>45.392131999999997</v>
      </c>
      <c r="P255" s="28">
        <f t="shared" si="24"/>
        <v>3.202060142853691E-2</v>
      </c>
      <c r="R255" s="24">
        <v>44508</v>
      </c>
      <c r="S255" s="233">
        <v>631.20001200000002</v>
      </c>
      <c r="T255" s="28">
        <f t="shared" si="25"/>
        <v>3.2148403550487092E-2</v>
      </c>
      <c r="V255" s="24">
        <v>44508</v>
      </c>
      <c r="W255" s="25">
        <v>153.866455</v>
      </c>
      <c r="X255" s="28">
        <f t="shared" si="26"/>
        <v>9.667637801596296E-3</v>
      </c>
      <c r="Z255" s="24">
        <v>44508</v>
      </c>
      <c r="AA255" s="27">
        <v>4682.8500000000004</v>
      </c>
      <c r="AB255" s="28">
        <f t="shared" si="27"/>
        <v>-3.1250465670255023E-3</v>
      </c>
    </row>
    <row r="256" spans="2:28" x14ac:dyDescent="0.35">
      <c r="B256" s="24">
        <v>44515</v>
      </c>
      <c r="C256" s="25">
        <v>189.985367</v>
      </c>
      <c r="D256" s="28">
        <f t="shared" si="21"/>
        <v>-2.5119444766251164E-2</v>
      </c>
      <c r="F256" s="24">
        <v>44515</v>
      </c>
      <c r="G256" s="25">
        <v>106.519051</v>
      </c>
      <c r="H256" s="28">
        <f t="shared" si="22"/>
        <v>-6.2409315878295679E-3</v>
      </c>
      <c r="J256" s="24">
        <v>44515</v>
      </c>
      <c r="K256" s="233">
        <v>52.920848999999997</v>
      </c>
      <c r="L256" s="28">
        <f t="shared" si="23"/>
        <v>-2.6922267947438572E-2</v>
      </c>
      <c r="N256" s="24">
        <v>44515</v>
      </c>
      <c r="O256" s="25">
        <v>46.368797000000001</v>
      </c>
      <c r="P256" s="28">
        <f t="shared" si="24"/>
        <v>2.1516173772141878E-2</v>
      </c>
      <c r="R256" s="24">
        <v>44515</v>
      </c>
      <c r="S256" s="233">
        <v>652.67999299999997</v>
      </c>
      <c r="T256" s="28">
        <f t="shared" si="25"/>
        <v>3.4030387502590687E-2</v>
      </c>
      <c r="V256" s="24">
        <v>44515</v>
      </c>
      <c r="W256" s="25">
        <v>151.88964799999999</v>
      </c>
      <c r="X256" s="28">
        <f t="shared" si="26"/>
        <v>-1.2847550169398536E-2</v>
      </c>
      <c r="Z256" s="24">
        <v>44515</v>
      </c>
      <c r="AA256" s="27">
        <v>4697.96</v>
      </c>
      <c r="AB256" s="28">
        <f t="shared" si="27"/>
        <v>3.2266675208472151E-3</v>
      </c>
    </row>
    <row r="257" spans="2:28" x14ac:dyDescent="0.35">
      <c r="B257" s="24">
        <v>44522</v>
      </c>
      <c r="C257" s="25">
        <v>186.94152800000001</v>
      </c>
      <c r="D257" s="28">
        <f t="shared" si="21"/>
        <v>-1.6021439166943763E-2</v>
      </c>
      <c r="F257" s="24">
        <v>44522</v>
      </c>
      <c r="G257" s="25">
        <v>106.766479</v>
      </c>
      <c r="H257" s="28">
        <f t="shared" si="22"/>
        <v>2.3228520877454084E-3</v>
      </c>
      <c r="J257" s="24">
        <v>44522</v>
      </c>
      <c r="K257" s="233">
        <v>51.731197000000002</v>
      </c>
      <c r="L257" s="28">
        <f t="shared" si="23"/>
        <v>-2.2479835877160514E-2</v>
      </c>
      <c r="N257" s="24">
        <v>44522</v>
      </c>
      <c r="O257" s="25">
        <v>49.289664999999999</v>
      </c>
      <c r="P257" s="28">
        <f t="shared" si="24"/>
        <v>6.2992102210458478E-2</v>
      </c>
      <c r="R257" s="24">
        <v>44522</v>
      </c>
      <c r="S257" s="233">
        <v>643.34997599999997</v>
      </c>
      <c r="T257" s="28">
        <f t="shared" si="25"/>
        <v>-1.4294933351817973E-2</v>
      </c>
      <c r="V257" s="24">
        <v>44522</v>
      </c>
      <c r="W257" s="25">
        <v>148.44882200000001</v>
      </c>
      <c r="X257" s="28">
        <f t="shared" si="26"/>
        <v>-2.2653459569542123E-2</v>
      </c>
      <c r="Z257" s="24">
        <v>44522</v>
      </c>
      <c r="AA257" s="27">
        <v>4594.62</v>
      </c>
      <c r="AB257" s="28">
        <f t="shared" si="27"/>
        <v>-2.1996781581792968E-2</v>
      </c>
    </row>
    <row r="258" spans="2:28" x14ac:dyDescent="0.35">
      <c r="B258" s="24">
        <v>44529</v>
      </c>
      <c r="C258" s="25">
        <v>188.19654800000001</v>
      </c>
      <c r="D258" s="28">
        <f t="shared" si="21"/>
        <v>6.7134360857477038E-3</v>
      </c>
      <c r="F258" s="24">
        <v>44529</v>
      </c>
      <c r="G258" s="25">
        <v>108.910774</v>
      </c>
      <c r="H258" s="28">
        <f t="shared" si="22"/>
        <v>2.0083972236267122E-2</v>
      </c>
      <c r="J258" s="24">
        <v>44529</v>
      </c>
      <c r="K258" s="233">
        <v>51.539023999999998</v>
      </c>
      <c r="L258" s="28">
        <f t="shared" si="23"/>
        <v>-3.7148376829556629E-3</v>
      </c>
      <c r="N258" s="24">
        <v>44529</v>
      </c>
      <c r="O258" s="25">
        <v>49.536121000000001</v>
      </c>
      <c r="P258" s="28">
        <f t="shared" si="24"/>
        <v>5.0001557121559514E-3</v>
      </c>
      <c r="R258" s="24">
        <v>44529</v>
      </c>
      <c r="S258" s="233">
        <v>635.15997300000004</v>
      </c>
      <c r="T258" s="28">
        <f t="shared" si="25"/>
        <v>-1.2730245287208897E-2</v>
      </c>
      <c r="V258" s="24">
        <v>44529</v>
      </c>
      <c r="W258" s="25">
        <v>149.59011799999999</v>
      </c>
      <c r="X258" s="28">
        <f t="shared" si="26"/>
        <v>7.6881445377854352E-3</v>
      </c>
      <c r="Z258" s="24">
        <v>44529</v>
      </c>
      <c r="AA258" s="27">
        <v>4538.43</v>
      </c>
      <c r="AB258" s="28">
        <f t="shared" si="27"/>
        <v>-1.2229520613238898E-2</v>
      </c>
    </row>
    <row r="259" spans="2:28" x14ac:dyDescent="0.35">
      <c r="B259" s="24">
        <v>44536</v>
      </c>
      <c r="C259" s="25">
        <v>196.05200199999999</v>
      </c>
      <c r="D259" s="28">
        <f t="shared" si="21"/>
        <v>4.1740691226706206E-2</v>
      </c>
      <c r="F259" s="24">
        <v>44536</v>
      </c>
      <c r="G259" s="25">
        <v>114.97717299999999</v>
      </c>
      <c r="H259" s="28">
        <f t="shared" si="22"/>
        <v>5.5700632519607218E-2</v>
      </c>
      <c r="J259" s="24">
        <v>44536</v>
      </c>
      <c r="K259" s="233">
        <v>51.575634000000001</v>
      </c>
      <c r="L259" s="28">
        <f t="shared" si="23"/>
        <v>7.1033553138311056E-4</v>
      </c>
      <c r="N259" s="24">
        <v>44536</v>
      </c>
      <c r="O259" s="25">
        <v>48.176085999999998</v>
      </c>
      <c r="P259" s="28">
        <f t="shared" si="24"/>
        <v>-2.7455419854130358E-2</v>
      </c>
      <c r="R259" s="24">
        <v>44536</v>
      </c>
      <c r="S259" s="233">
        <v>669.52002000000005</v>
      </c>
      <c r="T259" s="28">
        <f t="shared" si="25"/>
        <v>5.4096681876393937E-2</v>
      </c>
      <c r="V259" s="24">
        <v>44536</v>
      </c>
      <c r="W259" s="25">
        <v>155.32482899999999</v>
      </c>
      <c r="X259" s="28">
        <f t="shared" si="26"/>
        <v>3.8336162018402842E-2</v>
      </c>
      <c r="Z259" s="24">
        <v>44536</v>
      </c>
      <c r="AA259" s="27">
        <v>4712.0200000000004</v>
      </c>
      <c r="AB259" s="28">
        <f t="shared" si="27"/>
        <v>3.8248909865305825E-2</v>
      </c>
    </row>
    <row r="260" spans="2:28" x14ac:dyDescent="0.35">
      <c r="B260" s="24">
        <v>44543</v>
      </c>
      <c r="C260" s="25">
        <v>206.84513899999999</v>
      </c>
      <c r="D260" s="28">
        <f t="shared" si="21"/>
        <v>5.5052419204574043E-2</v>
      </c>
      <c r="F260" s="24">
        <v>44543</v>
      </c>
      <c r="G260" s="25">
        <v>118.697632</v>
      </c>
      <c r="H260" s="28">
        <f t="shared" si="22"/>
        <v>3.2358240361328061E-2</v>
      </c>
      <c r="J260" s="24">
        <v>44543</v>
      </c>
      <c r="K260" s="233">
        <v>56.334201999999998</v>
      </c>
      <c r="L260" s="28">
        <f t="shared" si="23"/>
        <v>9.2263877938950634E-2</v>
      </c>
      <c r="N260" s="24">
        <v>44543</v>
      </c>
      <c r="O260" s="25">
        <v>54.291652999999997</v>
      </c>
      <c r="P260" s="28">
        <f t="shared" si="24"/>
        <v>0.12694196452571926</v>
      </c>
      <c r="R260" s="24">
        <v>44543</v>
      </c>
      <c r="S260" s="233">
        <v>619.28002900000001</v>
      </c>
      <c r="T260" s="28">
        <f t="shared" si="25"/>
        <v>-7.5038818107336147E-2</v>
      </c>
      <c r="V260" s="24">
        <v>44543</v>
      </c>
      <c r="W260" s="25">
        <v>157.89651499999999</v>
      </c>
      <c r="X260" s="28">
        <f t="shared" si="26"/>
        <v>1.6556824923335434E-2</v>
      </c>
      <c r="Z260" s="24">
        <v>44543</v>
      </c>
      <c r="AA260" s="27">
        <v>4620.6400000000003</v>
      </c>
      <c r="AB260" s="28">
        <f t="shared" si="27"/>
        <v>-1.9392956736176914E-2</v>
      </c>
    </row>
    <row r="261" spans="2:28" x14ac:dyDescent="0.35">
      <c r="B261" s="24">
        <v>44550</v>
      </c>
      <c r="C261" s="25">
        <v>208.04437300000001</v>
      </c>
      <c r="D261" s="28">
        <f t="shared" si="21"/>
        <v>5.7977383746978806E-3</v>
      </c>
      <c r="F261" s="24">
        <v>44550</v>
      </c>
      <c r="G261" s="25">
        <v>121.959923</v>
      </c>
      <c r="H261" s="28">
        <f t="shared" si="22"/>
        <v>2.7484044500567739E-2</v>
      </c>
      <c r="J261" s="24">
        <v>44550</v>
      </c>
      <c r="K261" s="233">
        <v>56.782608000000003</v>
      </c>
      <c r="L261" s="28">
        <f t="shared" si="23"/>
        <v>7.9597470822432292E-3</v>
      </c>
      <c r="N261" s="24">
        <v>44550</v>
      </c>
      <c r="O261" s="25">
        <v>53.588821000000003</v>
      </c>
      <c r="P261" s="28">
        <f t="shared" si="24"/>
        <v>-1.2945489060721571E-2</v>
      </c>
      <c r="R261" s="24">
        <v>44550</v>
      </c>
      <c r="S261" s="233">
        <v>625.38000499999998</v>
      </c>
      <c r="T261" s="28">
        <f t="shared" si="25"/>
        <v>9.8501093436680343E-3</v>
      </c>
      <c r="V261" s="24">
        <v>44550</v>
      </c>
      <c r="W261" s="25">
        <v>157.91528299999999</v>
      </c>
      <c r="X261" s="28">
        <f t="shared" si="26"/>
        <v>1.1886266140836987E-4</v>
      </c>
      <c r="Z261" s="24">
        <v>44550</v>
      </c>
      <c r="AA261" s="27">
        <v>4725.79</v>
      </c>
      <c r="AB261" s="28">
        <f t="shared" si="27"/>
        <v>2.2756587831988639E-2</v>
      </c>
    </row>
    <row r="262" spans="2:28" x14ac:dyDescent="0.35">
      <c r="B262" s="24">
        <v>44557</v>
      </c>
      <c r="C262" s="25">
        <v>209.14134200000001</v>
      </c>
      <c r="D262" s="28">
        <f t="shared" si="21"/>
        <v>5.2727645750842989E-3</v>
      </c>
      <c r="F262" s="24">
        <v>44557</v>
      </c>
      <c r="G262" s="25">
        <v>124.076714</v>
      </c>
      <c r="H262" s="28">
        <f t="shared" si="22"/>
        <v>1.7356447494641269E-2</v>
      </c>
      <c r="J262" s="24">
        <v>44557</v>
      </c>
      <c r="K262" s="233">
        <v>57.057144000000001</v>
      </c>
      <c r="L262" s="28">
        <f t="shared" si="23"/>
        <v>4.834860702417787E-3</v>
      </c>
      <c r="N262" s="24">
        <v>44557</v>
      </c>
      <c r="O262" s="25">
        <v>53.899161999999997</v>
      </c>
      <c r="P262" s="28">
        <f t="shared" si="24"/>
        <v>5.7911518523610095E-3</v>
      </c>
      <c r="R262" s="24">
        <v>44557</v>
      </c>
      <c r="S262" s="233">
        <v>631.52002000000005</v>
      </c>
      <c r="T262" s="28">
        <f t="shared" si="25"/>
        <v>9.8180545442927425E-3</v>
      </c>
      <c r="V262" s="24">
        <v>44557</v>
      </c>
      <c r="W262" s="25">
        <v>160.56210300000001</v>
      </c>
      <c r="X262" s="28">
        <f t="shared" si="26"/>
        <v>1.6761012295434474E-2</v>
      </c>
      <c r="Z262" s="24">
        <v>44557</v>
      </c>
      <c r="AA262" s="27">
        <v>4766.18</v>
      </c>
      <c r="AB262" s="28">
        <f t="shared" si="27"/>
        <v>8.5467191728791914E-3</v>
      </c>
    </row>
    <row r="263" spans="2:28" x14ac:dyDescent="0.35">
      <c r="B263" s="24">
        <v>44564</v>
      </c>
      <c r="C263" s="25">
        <v>211.29809599999999</v>
      </c>
      <c r="D263" s="28">
        <f t="shared" si="21"/>
        <v>1.0312423069370746E-2</v>
      </c>
      <c r="F263" s="24">
        <v>44564</v>
      </c>
      <c r="G263" s="25">
        <v>123.600212</v>
      </c>
      <c r="H263" s="28">
        <f t="shared" si="22"/>
        <v>-3.8403821687282846E-3</v>
      </c>
      <c r="J263" s="24">
        <v>44564</v>
      </c>
      <c r="K263" s="233">
        <v>57.496398999999997</v>
      </c>
      <c r="L263" s="28">
        <f t="shared" si="23"/>
        <v>7.6985101111965992E-3</v>
      </c>
      <c r="N263" s="24">
        <v>44564</v>
      </c>
      <c r="O263" s="25">
        <v>50.859642000000001</v>
      </c>
      <c r="P263" s="28">
        <f t="shared" si="24"/>
        <v>-5.6392713489682778E-2</v>
      </c>
      <c r="R263" s="24">
        <v>44564</v>
      </c>
      <c r="S263" s="233">
        <v>603.72997999999995</v>
      </c>
      <c r="T263" s="28">
        <f t="shared" si="25"/>
        <v>-4.4005002406732996E-2</v>
      </c>
      <c r="V263" s="24">
        <v>44564</v>
      </c>
      <c r="W263" s="25">
        <v>163.26518200000001</v>
      </c>
      <c r="X263" s="28">
        <f t="shared" si="26"/>
        <v>1.6835099624971983E-2</v>
      </c>
      <c r="Z263" s="24">
        <v>44564</v>
      </c>
      <c r="AA263" s="27">
        <v>4677.03</v>
      </c>
      <c r="AB263" s="28">
        <f t="shared" si="27"/>
        <v>-1.8704706914132618E-2</v>
      </c>
    </row>
    <row r="264" spans="2:28" x14ac:dyDescent="0.35">
      <c r="B264" s="24">
        <v>44571</v>
      </c>
      <c r="C264" s="25">
        <v>218.80033900000001</v>
      </c>
      <c r="D264" s="28">
        <f t="shared" si="21"/>
        <v>3.5505492676091155E-2</v>
      </c>
      <c r="F264" s="24">
        <v>44571</v>
      </c>
      <c r="G264" s="25">
        <v>124.507423</v>
      </c>
      <c r="H264" s="28">
        <f t="shared" si="22"/>
        <v>7.339882232564543E-3</v>
      </c>
      <c r="J264" s="24">
        <v>44571</v>
      </c>
      <c r="K264" s="233">
        <v>59.938839000000002</v>
      </c>
      <c r="L264" s="28">
        <f t="shared" si="23"/>
        <v>4.2479877739821648E-2</v>
      </c>
      <c r="N264" s="24">
        <v>44571</v>
      </c>
      <c r="O264" s="25">
        <v>50.156802999999996</v>
      </c>
      <c r="P264" s="28">
        <f t="shared" si="24"/>
        <v>-1.3819188896374901E-2</v>
      </c>
      <c r="R264" s="24">
        <v>44571</v>
      </c>
      <c r="S264" s="233">
        <v>615.23999000000003</v>
      </c>
      <c r="T264" s="28">
        <f t="shared" si="25"/>
        <v>1.9064830936505794E-2</v>
      </c>
      <c r="V264" s="24">
        <v>44571</v>
      </c>
      <c r="W264" s="25">
        <v>157.53045700000001</v>
      </c>
      <c r="X264" s="28">
        <f t="shared" si="26"/>
        <v>-3.5125217328946468E-2</v>
      </c>
      <c r="Z264" s="24">
        <v>44571</v>
      </c>
      <c r="AA264" s="27">
        <v>4662.8500000000004</v>
      </c>
      <c r="AB264" s="28">
        <f t="shared" si="27"/>
        <v>-3.0318385813217219E-3</v>
      </c>
    </row>
    <row r="265" spans="2:28" x14ac:dyDescent="0.35">
      <c r="B265" s="24">
        <v>44578</v>
      </c>
      <c r="C265" s="25">
        <v>211.69786099999999</v>
      </c>
      <c r="D265" s="28">
        <f t="shared" si="21"/>
        <v>-3.2461000894518866E-2</v>
      </c>
      <c r="F265" s="24">
        <v>44578</v>
      </c>
      <c r="G265" s="25">
        <v>122.197762</v>
      </c>
      <c r="H265" s="28">
        <f t="shared" si="22"/>
        <v>-1.8550387955584058E-2</v>
      </c>
      <c r="J265" s="24">
        <v>44578</v>
      </c>
      <c r="K265" s="233">
        <v>58.655684999999998</v>
      </c>
      <c r="L265" s="28">
        <f t="shared" si="23"/>
        <v>-2.140772196138141E-2</v>
      </c>
      <c r="N265" s="24">
        <v>44578</v>
      </c>
      <c r="O265" s="25">
        <v>48.185218999999996</v>
      </c>
      <c r="P265" s="28">
        <f t="shared" si="24"/>
        <v>-3.9308406478778202E-2</v>
      </c>
      <c r="R265" s="24">
        <v>44578</v>
      </c>
      <c r="S265" s="233">
        <v>621.40002400000003</v>
      </c>
      <c r="T265" s="28">
        <f t="shared" si="25"/>
        <v>1.0012408328658795E-2</v>
      </c>
      <c r="V265" s="24">
        <v>44578</v>
      </c>
      <c r="W265" s="25">
        <v>154.74292</v>
      </c>
      <c r="X265" s="28">
        <f t="shared" si="26"/>
        <v>-1.7695225755613775E-2</v>
      </c>
      <c r="Z265" s="24">
        <v>44578</v>
      </c>
      <c r="AA265" s="27">
        <v>4397.9399999999996</v>
      </c>
      <c r="AB265" s="28">
        <f t="shared" si="27"/>
        <v>-5.6812893402104048E-2</v>
      </c>
    </row>
    <row r="266" spans="2:28" x14ac:dyDescent="0.35">
      <c r="B266" s="24">
        <v>44585</v>
      </c>
      <c r="C266" s="25">
        <v>213.017944</v>
      </c>
      <c r="D266" s="28">
        <f t="shared" si="21"/>
        <v>6.2356936143064257E-3</v>
      </c>
      <c r="F266" s="24">
        <v>44585</v>
      </c>
      <c r="G266" s="25">
        <v>127.69744900000001</v>
      </c>
      <c r="H266" s="28">
        <f t="shared" si="22"/>
        <v>4.5006446190070326E-2</v>
      </c>
      <c r="J266" s="24">
        <v>44585</v>
      </c>
      <c r="K266" s="233">
        <v>59.920380000000002</v>
      </c>
      <c r="L266" s="28">
        <f t="shared" si="23"/>
        <v>2.1561337149161197E-2</v>
      </c>
      <c r="N266" s="24">
        <v>44585</v>
      </c>
      <c r="O266" s="25">
        <v>49.590885</v>
      </c>
      <c r="P266" s="28">
        <f t="shared" si="24"/>
        <v>2.9172140942225644E-2</v>
      </c>
      <c r="R266" s="24">
        <v>44585</v>
      </c>
      <c r="S266" s="233">
        <v>624.919983</v>
      </c>
      <c r="T266" s="28">
        <f t="shared" si="25"/>
        <v>5.6645620599460322E-3</v>
      </c>
      <c r="V266" s="24">
        <v>44585</v>
      </c>
      <c r="W266" s="25">
        <v>161.23783900000001</v>
      </c>
      <c r="X266" s="28">
        <f t="shared" si="26"/>
        <v>4.1972317699575656E-2</v>
      </c>
      <c r="Z266" s="24">
        <v>44585</v>
      </c>
      <c r="AA266" s="27">
        <v>4431.8500000000004</v>
      </c>
      <c r="AB266" s="28">
        <f t="shared" si="27"/>
        <v>7.7104280640483136E-3</v>
      </c>
    </row>
    <row r="267" spans="2:28" x14ac:dyDescent="0.35">
      <c r="B267" s="24">
        <v>44592</v>
      </c>
      <c r="C267" s="25">
        <v>206.48255900000001</v>
      </c>
      <c r="D267" s="28">
        <f t="shared" si="21"/>
        <v>-3.0679974077676753E-2</v>
      </c>
      <c r="F267" s="24">
        <v>44592</v>
      </c>
      <c r="G267" s="25">
        <v>130.22511299999999</v>
      </c>
      <c r="H267" s="28">
        <f t="shared" si="22"/>
        <v>1.9794162058789366E-2</v>
      </c>
      <c r="J267" s="24">
        <v>44592</v>
      </c>
      <c r="K267" s="233">
        <v>59.994216999999999</v>
      </c>
      <c r="L267" s="28">
        <f t="shared" si="23"/>
        <v>1.2322518648912872E-3</v>
      </c>
      <c r="N267" s="24">
        <v>44592</v>
      </c>
      <c r="O267" s="25">
        <v>48.744705000000003</v>
      </c>
      <c r="P267" s="28">
        <f t="shared" si="24"/>
        <v>-1.7063216355182931E-2</v>
      </c>
      <c r="R267" s="24">
        <v>44592</v>
      </c>
      <c r="S267" s="233">
        <v>622.96002199999998</v>
      </c>
      <c r="T267" s="28">
        <f t="shared" si="25"/>
        <v>-3.1363391367179583E-3</v>
      </c>
      <c r="V267" s="24">
        <v>44592</v>
      </c>
      <c r="W267" s="25">
        <v>161.08767700000001</v>
      </c>
      <c r="X267" s="28">
        <f t="shared" si="26"/>
        <v>-9.3130744576641611E-4</v>
      </c>
      <c r="Z267" s="24">
        <v>44592</v>
      </c>
      <c r="AA267" s="27">
        <v>4500.53</v>
      </c>
      <c r="AB267" s="28">
        <f t="shared" si="27"/>
        <v>1.5496914381127436E-2</v>
      </c>
    </row>
    <row r="268" spans="2:28" x14ac:dyDescent="0.35">
      <c r="B268" s="24">
        <v>44599</v>
      </c>
      <c r="C268" s="25">
        <v>212.14407299999999</v>
      </c>
      <c r="D268" s="28">
        <f t="shared" si="21"/>
        <v>2.7418848484922043E-2</v>
      </c>
      <c r="F268" s="24">
        <v>44599</v>
      </c>
      <c r="G268" s="25">
        <v>131.48431400000001</v>
      </c>
      <c r="H268" s="28">
        <f t="shared" si="22"/>
        <v>9.6694176030396317E-3</v>
      </c>
      <c r="J268" s="24">
        <v>44599</v>
      </c>
      <c r="K268" s="233">
        <v>61.738925999999999</v>
      </c>
      <c r="L268" s="28">
        <f t="shared" si="23"/>
        <v>2.9081286284643015E-2</v>
      </c>
      <c r="N268" s="24">
        <v>44599</v>
      </c>
      <c r="O268" s="25">
        <v>46.702950000000001</v>
      </c>
      <c r="P268" s="28">
        <f t="shared" si="24"/>
        <v>-4.1886703386552537E-2</v>
      </c>
      <c r="R268" s="24">
        <v>44599</v>
      </c>
      <c r="S268" s="233">
        <v>638.40997300000004</v>
      </c>
      <c r="T268" s="28">
        <f t="shared" si="25"/>
        <v>2.4800870769200012E-2</v>
      </c>
      <c r="V268" s="24">
        <v>44599</v>
      </c>
      <c r="W268" s="25">
        <v>157.40846300000001</v>
      </c>
      <c r="X268" s="28">
        <f t="shared" si="26"/>
        <v>-2.2839822812765531E-2</v>
      </c>
      <c r="Z268" s="24">
        <v>44599</v>
      </c>
      <c r="AA268" s="27">
        <v>4418.6400000000003</v>
      </c>
      <c r="AB268" s="28">
        <f t="shared" si="27"/>
        <v>-1.8195634736353106E-2</v>
      </c>
    </row>
    <row r="269" spans="2:28" x14ac:dyDescent="0.35">
      <c r="B269" s="24">
        <v>44606</v>
      </c>
      <c r="C269" s="25">
        <v>205.23687699999999</v>
      </c>
      <c r="D269" s="28">
        <f t="shared" si="21"/>
        <v>-3.2558986458226413E-2</v>
      </c>
      <c r="F269" s="24">
        <v>44606</v>
      </c>
      <c r="G269" s="25">
        <v>133.35458399999999</v>
      </c>
      <c r="H269" s="28">
        <f t="shared" si="22"/>
        <v>1.4224282297278235E-2</v>
      </c>
      <c r="J269" s="24">
        <v>44606</v>
      </c>
      <c r="K269" s="233">
        <v>62.357436999999997</v>
      </c>
      <c r="L269" s="28">
        <f t="shared" si="23"/>
        <v>1.0018169088331641E-2</v>
      </c>
      <c r="N269" s="24">
        <v>44606</v>
      </c>
      <c r="O269" s="25">
        <v>44.633602000000003</v>
      </c>
      <c r="P269" s="28">
        <f t="shared" si="24"/>
        <v>-4.4308721397684714E-2</v>
      </c>
      <c r="R269" s="24">
        <v>44606</v>
      </c>
      <c r="S269" s="233">
        <v>615.13000499999998</v>
      </c>
      <c r="T269" s="28">
        <f t="shared" si="25"/>
        <v>-3.6465545628310614E-2</v>
      </c>
      <c r="V269" s="24">
        <v>44606</v>
      </c>
      <c r="W269" s="25">
        <v>153.32566800000001</v>
      </c>
      <c r="X269" s="28">
        <f t="shared" si="26"/>
        <v>-2.5937582530108361E-2</v>
      </c>
      <c r="Z269" s="24">
        <v>44606</v>
      </c>
      <c r="AA269" s="27">
        <v>4348.87</v>
      </c>
      <c r="AB269" s="28">
        <f t="shared" si="27"/>
        <v>-1.5789926312168578E-2</v>
      </c>
    </row>
    <row r="270" spans="2:28" x14ac:dyDescent="0.35">
      <c r="B270" s="24">
        <v>44613</v>
      </c>
      <c r="C270" s="25">
        <v>212.86604299999999</v>
      </c>
      <c r="D270" s="28">
        <f t="shared" si="21"/>
        <v>3.7172491179545686E-2</v>
      </c>
      <c r="F270" s="24">
        <v>44613</v>
      </c>
      <c r="G270" s="25">
        <v>138.45619199999999</v>
      </c>
      <c r="H270" s="28">
        <f t="shared" si="22"/>
        <v>3.8255962764654594E-2</v>
      </c>
      <c r="J270" s="24">
        <v>44613</v>
      </c>
      <c r="K270" s="233">
        <v>63.511349000000003</v>
      </c>
      <c r="L270" s="28">
        <f t="shared" si="23"/>
        <v>1.8504801600489174E-2</v>
      </c>
      <c r="N270" s="24">
        <v>44613</v>
      </c>
      <c r="O270" s="25">
        <v>43.888638</v>
      </c>
      <c r="P270" s="28">
        <f t="shared" si="24"/>
        <v>-1.6690653826236135E-2</v>
      </c>
      <c r="R270" s="24">
        <v>44613</v>
      </c>
      <c r="S270" s="233">
        <v>618.65997300000004</v>
      </c>
      <c r="T270" s="28">
        <f t="shared" si="25"/>
        <v>5.7385722876581724E-3</v>
      </c>
      <c r="V270" s="24">
        <v>44613</v>
      </c>
      <c r="W270" s="25">
        <v>156.80363500000001</v>
      </c>
      <c r="X270" s="28">
        <f t="shared" si="26"/>
        <v>2.2683527457385777E-2</v>
      </c>
      <c r="Z270" s="24">
        <v>44613</v>
      </c>
      <c r="AA270" s="27">
        <v>4384.6499999999996</v>
      </c>
      <c r="AB270" s="28">
        <f t="shared" si="27"/>
        <v>8.2274245953546377E-3</v>
      </c>
    </row>
    <row r="271" spans="2:28" x14ac:dyDescent="0.35">
      <c r="B271" s="24">
        <v>44620</v>
      </c>
      <c r="C271" s="25">
        <v>218.37919600000001</v>
      </c>
      <c r="D271" s="28">
        <f t="shared" si="21"/>
        <v>2.5899635856903691E-2</v>
      </c>
      <c r="F271" s="24">
        <v>44620</v>
      </c>
      <c r="G271" s="25">
        <v>139.40060399999999</v>
      </c>
      <c r="H271" s="28">
        <f t="shared" si="22"/>
        <v>6.8210167155253743E-3</v>
      </c>
      <c r="J271" s="24">
        <v>44620</v>
      </c>
      <c r="K271" s="233">
        <v>64.028296999999995</v>
      </c>
      <c r="L271" s="28">
        <f t="shared" si="23"/>
        <v>8.1394586658833923E-3</v>
      </c>
      <c r="N271" s="24">
        <v>44620</v>
      </c>
      <c r="O271" s="25">
        <v>44.743972999999997</v>
      </c>
      <c r="P271" s="28">
        <f t="shared" si="24"/>
        <v>1.9488756976236088E-2</v>
      </c>
      <c r="R271" s="24">
        <v>44620</v>
      </c>
      <c r="S271" s="233">
        <v>620.40997300000004</v>
      </c>
      <c r="T271" s="28">
        <f t="shared" si="25"/>
        <v>2.8286943981747914E-3</v>
      </c>
      <c r="V271" s="24">
        <v>44620</v>
      </c>
      <c r="W271" s="25">
        <v>160.090836</v>
      </c>
      <c r="X271" s="28">
        <f t="shared" si="26"/>
        <v>2.0963806100540827E-2</v>
      </c>
      <c r="Z271" s="24">
        <v>44620</v>
      </c>
      <c r="AA271" s="27">
        <v>4328.87</v>
      </c>
      <c r="AB271" s="28">
        <f t="shared" si="27"/>
        <v>-1.2721653951854761E-2</v>
      </c>
    </row>
    <row r="272" spans="2:28" x14ac:dyDescent="0.35">
      <c r="B272" s="24">
        <v>44627</v>
      </c>
      <c r="C272" s="25">
        <v>214.57250999999999</v>
      </c>
      <c r="D272" s="28">
        <f t="shared" si="21"/>
        <v>-1.7431541418441721E-2</v>
      </c>
      <c r="F272" s="24">
        <v>44627</v>
      </c>
      <c r="G272" s="25">
        <v>138.01177999999999</v>
      </c>
      <c r="H272" s="28">
        <f t="shared" si="22"/>
        <v>-9.9628262729765105E-3</v>
      </c>
      <c r="J272" s="24">
        <v>44627</v>
      </c>
      <c r="K272" s="233">
        <v>63.575966000000001</v>
      </c>
      <c r="L272" s="28">
        <f t="shared" si="23"/>
        <v>-7.0645483511765361E-3</v>
      </c>
      <c r="N272" s="24">
        <v>44627</v>
      </c>
      <c r="O272" s="25">
        <v>46.233898000000003</v>
      </c>
      <c r="P272" s="28">
        <f t="shared" si="24"/>
        <v>3.329889815551268E-2</v>
      </c>
      <c r="R272" s="24">
        <v>44627</v>
      </c>
      <c r="S272" s="233">
        <v>642.580017</v>
      </c>
      <c r="T272" s="28">
        <f t="shared" si="25"/>
        <v>3.5734506156947177E-2</v>
      </c>
      <c r="V272" s="24">
        <v>44627</v>
      </c>
      <c r="W272" s="25">
        <v>159.96803299999999</v>
      </c>
      <c r="X272" s="28">
        <f t="shared" si="26"/>
        <v>-7.670832576576192E-4</v>
      </c>
      <c r="Z272" s="24">
        <v>44627</v>
      </c>
      <c r="AA272" s="27">
        <v>4204.3100000000004</v>
      </c>
      <c r="AB272" s="28">
        <f t="shared" si="27"/>
        <v>-2.8774252865066297E-2</v>
      </c>
    </row>
    <row r="273" spans="2:28" x14ac:dyDescent="0.35">
      <c r="B273" s="24">
        <v>44634</v>
      </c>
      <c r="C273" s="25">
        <v>221.51083399999999</v>
      </c>
      <c r="D273" s="28">
        <f t="shared" si="21"/>
        <v>3.2335568055758879E-2</v>
      </c>
      <c r="F273" s="24">
        <v>44634</v>
      </c>
      <c r="G273" s="25">
        <v>147.40022300000001</v>
      </c>
      <c r="H273" s="28">
        <f t="shared" si="22"/>
        <v>6.8026388761887047E-2</v>
      </c>
      <c r="J273" s="24">
        <v>44634</v>
      </c>
      <c r="K273" s="233">
        <v>65.560692000000003</v>
      </c>
      <c r="L273" s="28">
        <f t="shared" si="23"/>
        <v>3.1218180782341509E-2</v>
      </c>
      <c r="N273" s="24">
        <v>44634</v>
      </c>
      <c r="O273" s="25">
        <v>50.133471999999998</v>
      </c>
      <c r="P273" s="28">
        <f t="shared" si="24"/>
        <v>8.4344478157562852E-2</v>
      </c>
      <c r="R273" s="24">
        <v>44634</v>
      </c>
      <c r="S273" s="233">
        <v>685.94000200000005</v>
      </c>
      <c r="T273" s="28">
        <f t="shared" si="25"/>
        <v>6.7477954266978113E-2</v>
      </c>
      <c r="V273" s="24">
        <v>44634</v>
      </c>
      <c r="W273" s="25">
        <v>165.15389999999999</v>
      </c>
      <c r="X273" s="28">
        <f t="shared" si="26"/>
        <v>3.2418145692896028E-2</v>
      </c>
      <c r="Z273" s="24">
        <v>44634</v>
      </c>
      <c r="AA273" s="27">
        <v>4463.12</v>
      </c>
      <c r="AB273" s="28">
        <f t="shared" si="27"/>
        <v>6.1558258073262762E-2</v>
      </c>
    </row>
    <row r="274" spans="2:28" x14ac:dyDescent="0.35">
      <c r="B274" s="24">
        <v>44641</v>
      </c>
      <c r="C274" s="25">
        <v>223.892349</v>
      </c>
      <c r="D274" s="28">
        <f t="shared" ref="D274:D337" si="28">(C274/C273)-1</f>
        <v>1.0751234858336511E-2</v>
      </c>
      <c r="F274" s="24">
        <v>44641</v>
      </c>
      <c r="G274" s="25">
        <v>149.372345</v>
      </c>
      <c r="H274" s="28">
        <f t="shared" ref="H274:H337" si="29">(G274/G273)-1</f>
        <v>1.3379369175038347E-2</v>
      </c>
      <c r="J274" s="24">
        <v>44641</v>
      </c>
      <c r="K274" s="233">
        <v>67.646964999999994</v>
      </c>
      <c r="L274" s="28">
        <f t="shared" ref="L274:L337" si="30">(K274/K273)-1</f>
        <v>3.1822010054439298E-2</v>
      </c>
      <c r="N274" s="24">
        <v>44641</v>
      </c>
      <c r="O274" s="25">
        <v>48.542374000000002</v>
      </c>
      <c r="P274" s="28">
        <f t="shared" ref="P274:P337" si="31">(O274/O273)-1</f>
        <v>-3.1737239343806012E-2</v>
      </c>
      <c r="R274" s="24">
        <v>44641</v>
      </c>
      <c r="S274" s="233">
        <v>680.03002900000001</v>
      </c>
      <c r="T274" s="28">
        <f t="shared" ref="T274:T337" si="32">(S274/S273)-1</f>
        <v>-8.615874541167301E-3</v>
      </c>
      <c r="V274" s="24">
        <v>44641</v>
      </c>
      <c r="W274" s="25">
        <v>167.118652</v>
      </c>
      <c r="X274" s="28">
        <f t="shared" ref="X274:X337" si="33">(W274/W273)-1</f>
        <v>1.1896491696532729E-2</v>
      </c>
      <c r="Z274" s="24">
        <v>44641</v>
      </c>
      <c r="AA274" s="27">
        <v>4543.0600000000004</v>
      </c>
      <c r="AB274" s="28">
        <f t="shared" ref="AB274:AB337" si="34">(AA274/AA273)-1</f>
        <v>1.7911236982200984E-2</v>
      </c>
    </row>
    <row r="275" spans="2:28" x14ac:dyDescent="0.35">
      <c r="B275" s="24">
        <v>44648</v>
      </c>
      <c r="C275" s="25">
        <v>227.95220900000001</v>
      </c>
      <c r="D275" s="28">
        <f t="shared" si="28"/>
        <v>1.8133089487573306E-2</v>
      </c>
      <c r="F275" s="24">
        <v>44648</v>
      </c>
      <c r="G275" s="25">
        <v>150.62228400000001</v>
      </c>
      <c r="H275" s="28">
        <f t="shared" si="29"/>
        <v>8.367941200896345E-3</v>
      </c>
      <c r="J275" s="24">
        <v>44648</v>
      </c>
      <c r="K275" s="233">
        <v>68.145454000000001</v>
      </c>
      <c r="L275" s="28">
        <f t="shared" si="30"/>
        <v>7.3689780465391319E-3</v>
      </c>
      <c r="N275" s="24">
        <v>44648</v>
      </c>
      <c r="O275" s="25">
        <v>47.429523000000003</v>
      </c>
      <c r="P275" s="28">
        <f t="shared" si="31"/>
        <v>-2.2925351776161618E-2</v>
      </c>
      <c r="R275" s="24">
        <v>44648</v>
      </c>
      <c r="S275" s="233">
        <v>694.830017</v>
      </c>
      <c r="T275" s="28">
        <f t="shared" si="32"/>
        <v>2.1763727142702471E-2</v>
      </c>
      <c r="V275" s="24">
        <v>44648</v>
      </c>
      <c r="W275" s="25">
        <v>168.318298</v>
      </c>
      <c r="X275" s="28">
        <f t="shared" si="33"/>
        <v>7.1784087870694346E-3</v>
      </c>
      <c r="Z275" s="24">
        <v>44648</v>
      </c>
      <c r="AA275" s="27">
        <v>4545.8599999999997</v>
      </c>
      <c r="AB275" s="28">
        <f t="shared" si="34"/>
        <v>6.1632467984118477E-4</v>
      </c>
    </row>
    <row r="276" spans="2:28" x14ac:dyDescent="0.35">
      <c r="B276" s="24">
        <v>44655</v>
      </c>
      <c r="C276" s="25">
        <v>236.296967</v>
      </c>
      <c r="D276" s="28">
        <f t="shared" si="28"/>
        <v>3.6607489072413291E-2</v>
      </c>
      <c r="F276" s="24">
        <v>44655</v>
      </c>
      <c r="G276" s="25">
        <v>161.992096</v>
      </c>
      <c r="H276" s="28">
        <f t="shared" si="29"/>
        <v>7.5485590166724625E-2</v>
      </c>
      <c r="J276" s="24">
        <v>44655</v>
      </c>
      <c r="K276" s="233">
        <v>72.321579</v>
      </c>
      <c r="L276" s="28">
        <f t="shared" si="30"/>
        <v>6.1282517833104455E-2</v>
      </c>
      <c r="N276" s="24">
        <v>44655</v>
      </c>
      <c r="O276" s="25">
        <v>50.740479000000001</v>
      </c>
      <c r="P276" s="28">
        <f t="shared" si="31"/>
        <v>6.9807912679197726E-2</v>
      </c>
      <c r="R276" s="24">
        <v>44655</v>
      </c>
      <c r="S276" s="233">
        <v>738.84002699999996</v>
      </c>
      <c r="T276" s="28">
        <f t="shared" si="32"/>
        <v>6.3339246899576596E-2</v>
      </c>
      <c r="V276" s="24">
        <v>44655</v>
      </c>
      <c r="W276" s="25">
        <v>172.030609</v>
      </c>
      <c r="X276" s="28">
        <f t="shared" si="33"/>
        <v>2.205530262669364E-2</v>
      </c>
      <c r="Z276" s="24">
        <v>44655</v>
      </c>
      <c r="AA276" s="27">
        <v>4488.28</v>
      </c>
      <c r="AB276" s="28">
        <f t="shared" si="34"/>
        <v>-1.266647015086253E-2</v>
      </c>
    </row>
    <row r="277" spans="2:28" x14ac:dyDescent="0.35">
      <c r="B277" s="24">
        <v>44662</v>
      </c>
      <c r="C277" s="25">
        <v>238.17219499999999</v>
      </c>
      <c r="D277" s="28">
        <f t="shared" si="28"/>
        <v>7.9358953430832546E-3</v>
      </c>
      <c r="F277" s="24">
        <v>44662</v>
      </c>
      <c r="G277" s="25">
        <v>150.27969400000001</v>
      </c>
      <c r="H277" s="28">
        <f t="shared" si="29"/>
        <v>-7.2302305416185209E-2</v>
      </c>
      <c r="J277" s="24">
        <v>44662</v>
      </c>
      <c r="K277" s="233">
        <v>72.079796000000002</v>
      </c>
      <c r="L277" s="28">
        <f t="shared" si="30"/>
        <v>-3.3431653918949422E-3</v>
      </c>
      <c r="N277" s="24">
        <v>44662</v>
      </c>
      <c r="O277" s="25">
        <v>48.855075999999997</v>
      </c>
      <c r="P277" s="28">
        <f t="shared" si="31"/>
        <v>-3.7157769046681666E-2</v>
      </c>
      <c r="R277" s="24">
        <v>44662</v>
      </c>
      <c r="S277" s="233">
        <v>733.02002000000005</v>
      </c>
      <c r="T277" s="28">
        <f t="shared" si="32"/>
        <v>-7.8772221148217803E-3</v>
      </c>
      <c r="V277" s="24">
        <v>44662</v>
      </c>
      <c r="W277" s="25">
        <v>169.933548</v>
      </c>
      <c r="X277" s="28">
        <f t="shared" si="33"/>
        <v>-1.2190045784235992E-2</v>
      </c>
      <c r="Z277" s="24">
        <v>44662</v>
      </c>
      <c r="AA277" s="27">
        <v>4392.59</v>
      </c>
      <c r="AB277" s="28">
        <f t="shared" si="34"/>
        <v>-2.1319971124796E-2</v>
      </c>
    </row>
    <row r="278" spans="2:28" x14ac:dyDescent="0.35">
      <c r="B278" s="24">
        <v>44669</v>
      </c>
      <c r="C278" s="25">
        <v>234.73117099999999</v>
      </c>
      <c r="D278" s="28">
        <f t="shared" si="28"/>
        <v>-1.4447631051139331E-2</v>
      </c>
      <c r="F278" s="24">
        <v>44669</v>
      </c>
      <c r="G278" s="25">
        <v>144.72189299999999</v>
      </c>
      <c r="H278" s="28">
        <f t="shared" si="29"/>
        <v>-3.6983047090846544E-2</v>
      </c>
      <c r="J278" s="24">
        <v>44669</v>
      </c>
      <c r="K278" s="233">
        <v>70.443100000000001</v>
      </c>
      <c r="L278" s="28">
        <f t="shared" si="30"/>
        <v>-2.2706723531792483E-2</v>
      </c>
      <c r="N278" s="24">
        <v>44669</v>
      </c>
      <c r="O278" s="25">
        <v>44.265720000000002</v>
      </c>
      <c r="P278" s="28">
        <f t="shared" si="31"/>
        <v>-9.3938161103259699E-2</v>
      </c>
      <c r="R278" s="24">
        <v>44669</v>
      </c>
      <c r="S278" s="233">
        <v>688.080017</v>
      </c>
      <c r="T278" s="28">
        <f t="shared" si="32"/>
        <v>-6.1308015843823838E-2</v>
      </c>
      <c r="V278" s="24">
        <v>44669</v>
      </c>
      <c r="W278" s="25">
        <v>171.482697</v>
      </c>
      <c r="X278" s="28">
        <f t="shared" si="33"/>
        <v>9.1162046472423874E-3</v>
      </c>
      <c r="Z278" s="24">
        <v>44669</v>
      </c>
      <c r="AA278" s="27">
        <v>4271.78</v>
      </c>
      <c r="AB278" s="28">
        <f t="shared" si="34"/>
        <v>-2.7503135963065195E-2</v>
      </c>
    </row>
    <row r="279" spans="2:28" x14ac:dyDescent="0.35">
      <c r="B279" s="24">
        <v>44676</v>
      </c>
      <c r="C279" s="25">
        <v>218.641739</v>
      </c>
      <c r="D279" s="28">
        <f t="shared" si="28"/>
        <v>-6.8544079303383132E-2</v>
      </c>
      <c r="F279" s="24">
        <v>44676</v>
      </c>
      <c r="G279" s="25">
        <v>137.14920000000001</v>
      </c>
      <c r="H279" s="28">
        <f t="shared" si="29"/>
        <v>-5.232582882259551E-2</v>
      </c>
      <c r="J279" s="24">
        <v>44676</v>
      </c>
      <c r="K279" s="233">
        <v>69.996712000000002</v>
      </c>
      <c r="L279" s="28">
        <f t="shared" si="30"/>
        <v>-6.336859110402604E-3</v>
      </c>
      <c r="N279" s="24">
        <v>44676</v>
      </c>
      <c r="O279" s="25">
        <v>45.130253000000003</v>
      </c>
      <c r="P279" s="28">
        <f t="shared" si="31"/>
        <v>1.9530530622793529E-2</v>
      </c>
      <c r="R279" s="24">
        <v>44676</v>
      </c>
      <c r="S279" s="233">
        <v>659.10998500000005</v>
      </c>
      <c r="T279" s="28">
        <f t="shared" si="32"/>
        <v>-4.2102707947119344E-2</v>
      </c>
      <c r="V279" s="24">
        <v>44676</v>
      </c>
      <c r="W279" s="25">
        <v>170.46255500000001</v>
      </c>
      <c r="X279" s="28">
        <f t="shared" si="33"/>
        <v>-5.9489500564595676E-3</v>
      </c>
      <c r="Z279" s="24">
        <v>44676</v>
      </c>
      <c r="AA279" s="27">
        <v>4131.93</v>
      </c>
      <c r="AB279" s="28">
        <f t="shared" si="34"/>
        <v>-3.2738109172288699E-2</v>
      </c>
    </row>
    <row r="280" spans="2:28" x14ac:dyDescent="0.35">
      <c r="B280" s="24">
        <v>44683</v>
      </c>
      <c r="C280" s="25">
        <v>221.745239</v>
      </c>
      <c r="D280" s="28">
        <f t="shared" si="28"/>
        <v>1.4194453511916061E-2</v>
      </c>
      <c r="F280" s="24">
        <v>44683</v>
      </c>
      <c r="G280" s="25">
        <v>142.70500200000001</v>
      </c>
      <c r="H280" s="28">
        <f t="shared" si="29"/>
        <v>4.0509182700300128E-2</v>
      </c>
      <c r="J280" s="24">
        <v>44683</v>
      </c>
      <c r="K280" s="233">
        <v>71.298636999999999</v>
      </c>
      <c r="L280" s="28">
        <f t="shared" si="30"/>
        <v>1.859980223071056E-2</v>
      </c>
      <c r="N280" s="24">
        <v>44683</v>
      </c>
      <c r="O280" s="25">
        <v>45.102654000000001</v>
      </c>
      <c r="P280" s="28">
        <f t="shared" si="31"/>
        <v>-6.1154099889493274E-4</v>
      </c>
      <c r="R280" s="24">
        <v>44683</v>
      </c>
      <c r="S280" s="233">
        <v>623.04998799999998</v>
      </c>
      <c r="T280" s="28">
        <f t="shared" si="32"/>
        <v>-5.4710136123943043E-2</v>
      </c>
      <c r="V280" s="24">
        <v>44683</v>
      </c>
      <c r="W280" s="25">
        <v>166.59913599999999</v>
      </c>
      <c r="X280" s="28">
        <f t="shared" si="33"/>
        <v>-2.2664326485074771E-2</v>
      </c>
      <c r="Z280" s="24">
        <v>44683</v>
      </c>
      <c r="AA280" s="27">
        <v>4123.34</v>
      </c>
      <c r="AB280" s="28">
        <f t="shared" si="34"/>
        <v>-2.0789316372736844E-3</v>
      </c>
    </row>
    <row r="281" spans="2:28" x14ac:dyDescent="0.35">
      <c r="B281" s="24">
        <v>44690</v>
      </c>
      <c r="C281" s="25">
        <v>228.21476699999999</v>
      </c>
      <c r="D281" s="28">
        <f t="shared" si="28"/>
        <v>2.9175499005865912E-2</v>
      </c>
      <c r="F281" s="24">
        <v>44690</v>
      </c>
      <c r="G281" s="25">
        <v>143.33059700000001</v>
      </c>
      <c r="H281" s="28">
        <f t="shared" si="29"/>
        <v>4.3838337215398315E-3</v>
      </c>
      <c r="J281" s="24">
        <v>44690</v>
      </c>
      <c r="K281" s="233">
        <v>70.489577999999995</v>
      </c>
      <c r="L281" s="28">
        <f t="shared" si="30"/>
        <v>-1.1347467974738512E-2</v>
      </c>
      <c r="N281" s="24">
        <v>44690</v>
      </c>
      <c r="O281" s="25">
        <v>45.911999000000002</v>
      </c>
      <c r="P281" s="28">
        <f t="shared" si="31"/>
        <v>1.794450942953385E-2</v>
      </c>
      <c r="R281" s="24">
        <v>44690</v>
      </c>
      <c r="S281" s="233">
        <v>645.52002000000005</v>
      </c>
      <c r="T281" s="28">
        <f t="shared" si="32"/>
        <v>3.6064573361327179E-2</v>
      </c>
      <c r="V281" s="24">
        <v>44690</v>
      </c>
      <c r="W281" s="25">
        <v>167.05252100000001</v>
      </c>
      <c r="X281" s="28">
        <f t="shared" si="33"/>
        <v>2.7214126728725141E-3</v>
      </c>
      <c r="Z281" s="24">
        <v>44690</v>
      </c>
      <c r="AA281" s="27">
        <v>4023.89</v>
      </c>
      <c r="AB281" s="28">
        <f t="shared" si="34"/>
        <v>-2.4118796897660721E-2</v>
      </c>
    </row>
    <row r="282" spans="2:28" x14ac:dyDescent="0.35">
      <c r="B282" s="24">
        <v>44697</v>
      </c>
      <c r="C282" s="25">
        <v>232.058975</v>
      </c>
      <c r="D282" s="28">
        <f t="shared" si="28"/>
        <v>1.6844694366337842E-2</v>
      </c>
      <c r="F282" s="24">
        <v>44697</v>
      </c>
      <c r="G282" s="25">
        <v>141.00555399999999</v>
      </c>
      <c r="H282" s="28">
        <f t="shared" si="29"/>
        <v>-1.6221539913072625E-2</v>
      </c>
      <c r="J282" s="24">
        <v>44697</v>
      </c>
      <c r="K282" s="233">
        <v>70.852271999999999</v>
      </c>
      <c r="L282" s="28">
        <f t="shared" si="30"/>
        <v>5.1453563816199477E-3</v>
      </c>
      <c r="N282" s="24">
        <v>44697</v>
      </c>
      <c r="O282" s="25">
        <v>48.650798999999999</v>
      </c>
      <c r="P282" s="28">
        <f t="shared" si="31"/>
        <v>5.9653250994364138E-2</v>
      </c>
      <c r="R282" s="24">
        <v>44697</v>
      </c>
      <c r="S282" s="233">
        <v>661.14001499999995</v>
      </c>
      <c r="T282" s="28">
        <f t="shared" si="32"/>
        <v>2.419753766893229E-2</v>
      </c>
      <c r="V282" s="24">
        <v>44697</v>
      </c>
      <c r="W282" s="25">
        <v>167.17532299999999</v>
      </c>
      <c r="X282" s="28">
        <f t="shared" si="33"/>
        <v>7.3511012743110449E-4</v>
      </c>
      <c r="Z282" s="24">
        <v>44697</v>
      </c>
      <c r="AA282" s="27">
        <v>3901.36</v>
      </c>
      <c r="AB282" s="28">
        <f t="shared" si="34"/>
        <v>-3.0450633590878406E-2</v>
      </c>
    </row>
    <row r="283" spans="2:28" x14ac:dyDescent="0.35">
      <c r="B283" s="24">
        <v>44704</v>
      </c>
      <c r="C283" s="25">
        <v>241.25773599999999</v>
      </c>
      <c r="D283" s="28">
        <f t="shared" si="28"/>
        <v>3.9639755368220397E-2</v>
      </c>
      <c r="F283" s="24">
        <v>44704</v>
      </c>
      <c r="G283" s="25">
        <v>140.0625</v>
      </c>
      <c r="H283" s="28">
        <f t="shared" si="29"/>
        <v>-6.6880627978667118E-3</v>
      </c>
      <c r="J283" s="24">
        <v>44704</v>
      </c>
      <c r="K283" s="233">
        <v>70.805770999999993</v>
      </c>
      <c r="L283" s="28">
        <f t="shared" si="30"/>
        <v>-6.5630922886994458E-4</v>
      </c>
      <c r="N283" s="24">
        <v>44704</v>
      </c>
      <c r="O283" s="25">
        <v>49.985988999999996</v>
      </c>
      <c r="P283" s="28">
        <f t="shared" si="31"/>
        <v>2.7444359135807783E-2</v>
      </c>
      <c r="R283" s="24">
        <v>44704</v>
      </c>
      <c r="S283" s="233">
        <v>692.79998799999998</v>
      </c>
      <c r="T283" s="28">
        <f t="shared" si="32"/>
        <v>4.7886941164799968E-2</v>
      </c>
      <c r="V283" s="24">
        <v>44704</v>
      </c>
      <c r="W283" s="25">
        <v>171.057648</v>
      </c>
      <c r="X283" s="28">
        <f t="shared" si="33"/>
        <v>2.3223074616102402E-2</v>
      </c>
      <c r="Z283" s="24">
        <v>44704</v>
      </c>
      <c r="AA283" s="27">
        <v>4158.24</v>
      </c>
      <c r="AB283" s="28">
        <f t="shared" si="34"/>
        <v>6.5843705784649265E-2</v>
      </c>
    </row>
    <row r="284" spans="2:28" x14ac:dyDescent="0.35">
      <c r="B284" s="24">
        <v>44711</v>
      </c>
      <c r="C284" s="25">
        <v>234.82131999999999</v>
      </c>
      <c r="D284" s="28">
        <f t="shared" si="28"/>
        <v>-2.6678589075377901E-2</v>
      </c>
      <c r="F284" s="24">
        <v>44711</v>
      </c>
      <c r="G284" s="25">
        <v>137.41996800000001</v>
      </c>
      <c r="H284" s="28">
        <f t="shared" si="29"/>
        <v>-1.8866805890227489E-2</v>
      </c>
      <c r="J284" s="24">
        <v>44711</v>
      </c>
      <c r="K284" s="233">
        <v>69.903732000000005</v>
      </c>
      <c r="L284" s="28">
        <f t="shared" si="30"/>
        <v>-1.2739625418385581E-2</v>
      </c>
      <c r="N284" s="24">
        <v>44711</v>
      </c>
      <c r="O284" s="25">
        <v>49.327666999999998</v>
      </c>
      <c r="P284" s="28">
        <f t="shared" si="31"/>
        <v>-1.3170130533978197E-2</v>
      </c>
      <c r="R284" s="24">
        <v>44711</v>
      </c>
      <c r="S284" s="233">
        <v>630.34997599999997</v>
      </c>
      <c r="T284" s="28">
        <f t="shared" si="32"/>
        <v>-9.0141473847716092E-2</v>
      </c>
      <c r="V284" s="24">
        <v>44711</v>
      </c>
      <c r="W284" s="25">
        <v>167.717209</v>
      </c>
      <c r="X284" s="28">
        <f t="shared" si="33"/>
        <v>-1.952814761021382E-2</v>
      </c>
      <c r="Z284" s="24">
        <v>44711</v>
      </c>
      <c r="AA284" s="27">
        <v>4108.54</v>
      </c>
      <c r="AB284" s="28">
        <f t="shared" si="34"/>
        <v>-1.1952172072799971E-2</v>
      </c>
    </row>
    <row r="285" spans="2:28" x14ac:dyDescent="0.35">
      <c r="B285" s="24">
        <v>44718</v>
      </c>
      <c r="C285" s="25">
        <v>226.84428399999999</v>
      </c>
      <c r="D285" s="28">
        <f t="shared" si="28"/>
        <v>-3.3970663311150839E-2</v>
      </c>
      <c r="F285" s="24">
        <v>44718</v>
      </c>
      <c r="G285" s="25">
        <v>133.712997</v>
      </c>
      <c r="H285" s="28">
        <f t="shared" si="29"/>
        <v>-2.6975490199502961E-2</v>
      </c>
      <c r="J285" s="24">
        <v>44718</v>
      </c>
      <c r="K285" s="233">
        <v>69.829314999999994</v>
      </c>
      <c r="L285" s="28">
        <f t="shared" si="30"/>
        <v>-1.0645640493129882E-3</v>
      </c>
      <c r="N285" s="24">
        <v>44718</v>
      </c>
      <c r="O285" s="25">
        <v>46.332771000000001</v>
      </c>
      <c r="P285" s="28">
        <f t="shared" si="31"/>
        <v>-6.0714324883842541E-2</v>
      </c>
      <c r="R285" s="24">
        <v>44718</v>
      </c>
      <c r="S285" s="233">
        <v>571.80999799999995</v>
      </c>
      <c r="T285" s="28">
        <f t="shared" si="32"/>
        <v>-9.2869009643620659E-2</v>
      </c>
      <c r="V285" s="24">
        <v>44718</v>
      </c>
      <c r="W285" s="25">
        <v>164.03813199999999</v>
      </c>
      <c r="X285" s="28">
        <f t="shared" si="33"/>
        <v>-2.1936192606210159E-2</v>
      </c>
      <c r="Z285" s="24">
        <v>44718</v>
      </c>
      <c r="AA285" s="27">
        <v>3900.86</v>
      </c>
      <c r="AB285" s="28">
        <f t="shared" si="34"/>
        <v>-5.054836998057699E-2</v>
      </c>
    </row>
    <row r="286" spans="2:28" x14ac:dyDescent="0.35">
      <c r="B286" s="24">
        <v>44725</v>
      </c>
      <c r="C286" s="25">
        <v>221.84446700000001</v>
      </c>
      <c r="D286" s="28">
        <f t="shared" si="28"/>
        <v>-2.2040744919100463E-2</v>
      </c>
      <c r="F286" s="24">
        <v>44725</v>
      </c>
      <c r="G286" s="25">
        <v>129.11892700000001</v>
      </c>
      <c r="H286" s="28">
        <f t="shared" si="29"/>
        <v>-3.4357692244382121E-2</v>
      </c>
      <c r="J286" s="24">
        <v>44725</v>
      </c>
      <c r="K286" s="233">
        <v>68.601814000000005</v>
      </c>
      <c r="L286" s="28">
        <f t="shared" si="30"/>
        <v>-1.7578591455465253E-2</v>
      </c>
      <c r="N286" s="24">
        <v>44725</v>
      </c>
      <c r="O286" s="25">
        <v>43.143166000000001</v>
      </c>
      <c r="P286" s="28">
        <f t="shared" si="31"/>
        <v>-6.8841231188179974E-2</v>
      </c>
      <c r="R286" s="24">
        <v>44725</v>
      </c>
      <c r="S286" s="233">
        <v>580.95001200000002</v>
      </c>
      <c r="T286" s="28">
        <f t="shared" si="32"/>
        <v>1.5984354998983541E-2</v>
      </c>
      <c r="V286" s="24">
        <v>44725</v>
      </c>
      <c r="W286" s="25">
        <v>161.10055500000001</v>
      </c>
      <c r="X286" s="28">
        <f t="shared" si="33"/>
        <v>-1.7907891074984805E-2</v>
      </c>
      <c r="Z286" s="24">
        <v>44725</v>
      </c>
      <c r="AA286" s="27">
        <v>3674.84</v>
      </c>
      <c r="AB286" s="28">
        <f t="shared" si="34"/>
        <v>-5.7941069405208045E-2</v>
      </c>
    </row>
    <row r="287" spans="2:28" x14ac:dyDescent="0.35">
      <c r="B287" s="24">
        <v>44732</v>
      </c>
      <c r="C287" s="25">
        <v>231.91027800000001</v>
      </c>
      <c r="D287" s="28">
        <f t="shared" si="28"/>
        <v>4.5373279469710592E-2</v>
      </c>
      <c r="F287" s="24">
        <v>44732</v>
      </c>
      <c r="G287" s="25">
        <v>142.24743699999999</v>
      </c>
      <c r="H287" s="28">
        <f t="shared" si="29"/>
        <v>0.10167765721906896</v>
      </c>
      <c r="J287" s="24">
        <v>44732</v>
      </c>
      <c r="K287" s="233">
        <v>73.428200000000004</v>
      </c>
      <c r="L287" s="28">
        <f t="shared" si="30"/>
        <v>7.0353620678310413E-2</v>
      </c>
      <c r="N287" s="24">
        <v>44732</v>
      </c>
      <c r="O287" s="25">
        <v>47.834854</v>
      </c>
      <c r="P287" s="28">
        <f t="shared" si="31"/>
        <v>0.10874695658635702</v>
      </c>
      <c r="R287" s="24">
        <v>44732</v>
      </c>
      <c r="S287" s="233">
        <v>612.48999000000003</v>
      </c>
      <c r="T287" s="28">
        <f t="shared" si="32"/>
        <v>5.4290347445590692E-2</v>
      </c>
      <c r="V287" s="24">
        <v>44732</v>
      </c>
      <c r="W287" s="25">
        <v>173.29766799999999</v>
      </c>
      <c r="X287" s="28">
        <f t="shared" si="33"/>
        <v>7.5711179269369877E-2</v>
      </c>
      <c r="Z287" s="24">
        <v>44732</v>
      </c>
      <c r="AA287" s="27">
        <v>3911.74</v>
      </c>
      <c r="AB287" s="28">
        <f t="shared" si="34"/>
        <v>6.4465391690522456E-2</v>
      </c>
    </row>
    <row r="288" spans="2:28" x14ac:dyDescent="0.35">
      <c r="B288" s="24">
        <v>44739</v>
      </c>
      <c r="C288" s="25">
        <v>232.08038300000001</v>
      </c>
      <c r="D288" s="28">
        <f t="shared" si="28"/>
        <v>7.3349487339235964E-4</v>
      </c>
      <c r="F288" s="24">
        <v>44739</v>
      </c>
      <c r="G288" s="25">
        <v>143.61073300000001</v>
      </c>
      <c r="H288" s="28">
        <f t="shared" si="29"/>
        <v>9.5839758434452804E-3</v>
      </c>
      <c r="J288" s="24">
        <v>44739</v>
      </c>
      <c r="K288" s="233">
        <v>71.456726000000003</v>
      </c>
      <c r="L288" s="28">
        <f t="shared" si="30"/>
        <v>-2.6849003516360215E-2</v>
      </c>
      <c r="N288" s="24">
        <v>44739</v>
      </c>
      <c r="O288" s="25">
        <v>48.502448999999999</v>
      </c>
      <c r="P288" s="28">
        <f t="shared" si="31"/>
        <v>1.3956246213273626E-2</v>
      </c>
      <c r="R288" s="24">
        <v>44739</v>
      </c>
      <c r="S288" s="233">
        <v>595.40002400000003</v>
      </c>
      <c r="T288" s="28">
        <f t="shared" si="32"/>
        <v>-2.7902441311734694E-2</v>
      </c>
      <c r="V288" s="24">
        <v>44739</v>
      </c>
      <c r="W288" s="25">
        <v>170.66430700000001</v>
      </c>
      <c r="X288" s="28">
        <f t="shared" si="33"/>
        <v>-1.5195593976486621E-2</v>
      </c>
      <c r="Z288" s="24">
        <v>44739</v>
      </c>
      <c r="AA288" s="27">
        <v>3825.33</v>
      </c>
      <c r="AB288" s="28">
        <f t="shared" si="34"/>
        <v>-2.2089913951336193E-2</v>
      </c>
    </row>
    <row r="289" spans="2:28" x14ac:dyDescent="0.35">
      <c r="B289" s="24">
        <v>44746</v>
      </c>
      <c r="C289" s="25">
        <v>234.84967</v>
      </c>
      <c r="D289" s="28">
        <f t="shared" si="28"/>
        <v>1.1932447560636827E-2</v>
      </c>
      <c r="F289" s="24">
        <v>44746</v>
      </c>
      <c r="G289" s="25">
        <v>142.72366299999999</v>
      </c>
      <c r="H289" s="28">
        <f t="shared" si="29"/>
        <v>-6.1769060116142471E-3</v>
      </c>
      <c r="J289" s="24">
        <v>44746</v>
      </c>
      <c r="K289" s="233">
        <v>70.585937999999999</v>
      </c>
      <c r="L289" s="28">
        <f t="shared" si="30"/>
        <v>-1.2186228627379392E-2</v>
      </c>
      <c r="N289" s="24">
        <v>44746</v>
      </c>
      <c r="O289" s="25">
        <v>49.299847</v>
      </c>
      <c r="P289" s="28">
        <f t="shared" si="31"/>
        <v>1.6440365722563799E-2</v>
      </c>
      <c r="R289" s="24">
        <v>44746</v>
      </c>
      <c r="S289" s="233">
        <v>621.57000700000003</v>
      </c>
      <c r="T289" s="28">
        <f t="shared" si="32"/>
        <v>4.3953614284704789E-2</v>
      </c>
      <c r="V289" s="24">
        <v>44746</v>
      </c>
      <c r="W289" s="25">
        <v>169.48545799999999</v>
      </c>
      <c r="X289" s="28">
        <f t="shared" si="33"/>
        <v>-6.907413862466405E-3</v>
      </c>
      <c r="Z289" s="24">
        <v>44746</v>
      </c>
      <c r="AA289" s="27">
        <v>3899.38</v>
      </c>
      <c r="AB289" s="28">
        <f t="shared" si="34"/>
        <v>1.9357807038869801E-2</v>
      </c>
    </row>
    <row r="290" spans="2:28" x14ac:dyDescent="0.35">
      <c r="B290" s="24">
        <v>44753</v>
      </c>
      <c r="C290" s="25">
        <v>235.048157</v>
      </c>
      <c r="D290" s="28">
        <f t="shared" si="28"/>
        <v>8.4516618652252795E-4</v>
      </c>
      <c r="F290" s="24">
        <v>44753</v>
      </c>
      <c r="G290" s="25">
        <v>143.44264200000001</v>
      </c>
      <c r="H290" s="28">
        <f t="shared" si="29"/>
        <v>5.037559889420784E-3</v>
      </c>
      <c r="J290" s="24">
        <v>44753</v>
      </c>
      <c r="K290" s="233">
        <v>70.838768000000002</v>
      </c>
      <c r="L290" s="28">
        <f t="shared" si="30"/>
        <v>3.5818749054521426E-3</v>
      </c>
      <c r="N290" s="24">
        <v>44753</v>
      </c>
      <c r="O290" s="25">
        <v>47.983212000000002</v>
      </c>
      <c r="P290" s="28">
        <f t="shared" si="31"/>
        <v>-2.6706675174874239E-2</v>
      </c>
      <c r="R290" s="24">
        <v>44753</v>
      </c>
      <c r="S290" s="233">
        <v>607.53997800000002</v>
      </c>
      <c r="T290" s="28">
        <f t="shared" si="32"/>
        <v>-2.2571920848812765E-2</v>
      </c>
      <c r="V290" s="24">
        <v>44753</v>
      </c>
      <c r="W290" s="25">
        <v>169.437927</v>
      </c>
      <c r="X290" s="28">
        <f t="shared" si="33"/>
        <v>-2.80442939240233E-4</v>
      </c>
      <c r="Z290" s="24">
        <v>44753</v>
      </c>
      <c r="AA290" s="27">
        <v>3863.16</v>
      </c>
      <c r="AB290" s="28">
        <f t="shared" si="34"/>
        <v>-9.2886561453360272E-3</v>
      </c>
    </row>
    <row r="291" spans="2:28" x14ac:dyDescent="0.35">
      <c r="B291" s="24">
        <v>44760</v>
      </c>
      <c r="C291" s="25">
        <v>232.45845</v>
      </c>
      <c r="D291" s="28">
        <f t="shared" si="28"/>
        <v>-1.1017771987891001E-2</v>
      </c>
      <c r="F291" s="24">
        <v>44760</v>
      </c>
      <c r="G291" s="25">
        <v>139.930588</v>
      </c>
      <c r="H291" s="28">
        <f t="shared" si="29"/>
        <v>-2.4484030348520758E-2</v>
      </c>
      <c r="J291" s="24">
        <v>44760</v>
      </c>
      <c r="K291" s="233">
        <v>68.310492999999994</v>
      </c>
      <c r="L291" s="28">
        <f t="shared" si="30"/>
        <v>-3.569055577025293E-2</v>
      </c>
      <c r="N291" s="24">
        <v>44760</v>
      </c>
      <c r="O291" s="25">
        <v>47.501060000000003</v>
      </c>
      <c r="P291" s="28">
        <f t="shared" si="31"/>
        <v>-1.0048347742956376E-2</v>
      </c>
      <c r="R291" s="24">
        <v>44760</v>
      </c>
      <c r="S291" s="233">
        <v>586.10998500000005</v>
      </c>
      <c r="T291" s="28">
        <f t="shared" si="32"/>
        <v>-3.5273387391800526E-2</v>
      </c>
      <c r="V291" s="24">
        <v>44760</v>
      </c>
      <c r="W291" s="25">
        <v>163.62931800000001</v>
      </c>
      <c r="X291" s="28">
        <f t="shared" si="33"/>
        <v>-3.4281634005118522E-2</v>
      </c>
      <c r="Z291" s="24">
        <v>44760</v>
      </c>
      <c r="AA291" s="27">
        <v>3961.63</v>
      </c>
      <c r="AB291" s="28">
        <f t="shared" si="34"/>
        <v>2.5489495646051408E-2</v>
      </c>
    </row>
    <row r="292" spans="2:28" x14ac:dyDescent="0.35">
      <c r="B292" s="24">
        <v>44767</v>
      </c>
      <c r="C292" s="25">
        <v>233.89506499999999</v>
      </c>
      <c r="D292" s="28">
        <f t="shared" si="28"/>
        <v>6.1800936898614989E-3</v>
      </c>
      <c r="F292" s="24">
        <v>44767</v>
      </c>
      <c r="G292" s="25">
        <v>135.25585899999999</v>
      </c>
      <c r="H292" s="28">
        <f t="shared" si="29"/>
        <v>-3.3407484859564907E-2</v>
      </c>
      <c r="J292" s="24">
        <v>44767</v>
      </c>
      <c r="K292" s="233">
        <v>69.087692000000004</v>
      </c>
      <c r="L292" s="28">
        <f t="shared" si="30"/>
        <v>1.1377446800157287E-2</v>
      </c>
      <c r="N292" s="24">
        <v>44767</v>
      </c>
      <c r="O292" s="25">
        <v>46.833461999999997</v>
      </c>
      <c r="P292" s="28">
        <f t="shared" si="31"/>
        <v>-1.4054381102232338E-2</v>
      </c>
      <c r="R292" s="24">
        <v>44767</v>
      </c>
      <c r="S292" s="233">
        <v>581.69000200000005</v>
      </c>
      <c r="T292" s="28">
        <f t="shared" si="32"/>
        <v>-7.5412177118940882E-3</v>
      </c>
      <c r="V292" s="24">
        <v>44767</v>
      </c>
      <c r="W292" s="25">
        <v>165.910965</v>
      </c>
      <c r="X292" s="28">
        <f t="shared" si="33"/>
        <v>1.3943998715437944E-2</v>
      </c>
      <c r="Z292" s="24">
        <v>44767</v>
      </c>
      <c r="AA292" s="27">
        <v>4130.29</v>
      </c>
      <c r="AB292" s="28">
        <f t="shared" si="34"/>
        <v>4.2573385197506974E-2</v>
      </c>
    </row>
    <row r="293" spans="2:28" x14ac:dyDescent="0.35">
      <c r="B293" s="24">
        <v>44774</v>
      </c>
      <c r="C293" s="25">
        <v>232.74198899999999</v>
      </c>
      <c r="D293" s="28">
        <f t="shared" si="28"/>
        <v>-4.9298859725834809E-3</v>
      </c>
      <c r="F293" s="24">
        <v>44774</v>
      </c>
      <c r="G293" s="25">
        <v>130.10047900000001</v>
      </c>
      <c r="H293" s="28">
        <f t="shared" si="29"/>
        <v>-3.8115761033316709E-2</v>
      </c>
      <c r="J293" s="24">
        <v>44774</v>
      </c>
      <c r="K293" s="233">
        <v>67.533278999999993</v>
      </c>
      <c r="L293" s="28">
        <f t="shared" si="30"/>
        <v>-2.2499130525304167E-2</v>
      </c>
      <c r="N293" s="24">
        <v>44774</v>
      </c>
      <c r="O293" s="25">
        <v>46.038204</v>
      </c>
      <c r="P293" s="28">
        <f t="shared" si="31"/>
        <v>-1.6980551213574557E-2</v>
      </c>
      <c r="R293" s="24">
        <v>44774</v>
      </c>
      <c r="S293" s="233">
        <v>613.60998500000005</v>
      </c>
      <c r="T293" s="28">
        <f t="shared" si="32"/>
        <v>5.4874560144150486E-2</v>
      </c>
      <c r="V293" s="24">
        <v>44774</v>
      </c>
      <c r="W293" s="25">
        <v>162.66914399999999</v>
      </c>
      <c r="X293" s="28">
        <f t="shared" si="33"/>
        <v>-1.9539522297396195E-2</v>
      </c>
      <c r="Z293" s="24">
        <v>44774</v>
      </c>
      <c r="AA293" s="27">
        <v>4145.1899999999996</v>
      </c>
      <c r="AB293" s="28">
        <f t="shared" si="34"/>
        <v>3.6074948732411904E-3</v>
      </c>
    </row>
    <row r="294" spans="2:28" x14ac:dyDescent="0.35">
      <c r="B294" s="24">
        <v>44781</v>
      </c>
      <c r="C294" s="25">
        <v>234.76461800000001</v>
      </c>
      <c r="D294" s="28">
        <f t="shared" si="28"/>
        <v>8.6904344535787548E-3</v>
      </c>
      <c r="F294" s="24">
        <v>44781</v>
      </c>
      <c r="G294" s="25">
        <v>134.398224</v>
      </c>
      <c r="H294" s="28">
        <f t="shared" si="29"/>
        <v>3.3034044401942575E-2</v>
      </c>
      <c r="J294" s="24">
        <v>44781</v>
      </c>
      <c r="K294" s="233">
        <v>70.763869999999997</v>
      </c>
      <c r="L294" s="28">
        <f t="shared" si="30"/>
        <v>4.7837022692175379E-2</v>
      </c>
      <c r="N294" s="24">
        <v>44781</v>
      </c>
      <c r="O294" s="25">
        <v>46.823104999999998</v>
      </c>
      <c r="P294" s="28">
        <f t="shared" si="31"/>
        <v>1.7048905730553621E-2</v>
      </c>
      <c r="R294" s="24">
        <v>44781</v>
      </c>
      <c r="S294" s="233">
        <v>628.71002199999998</v>
      </c>
      <c r="T294" s="28">
        <f t="shared" si="32"/>
        <v>2.4608525560417593E-2</v>
      </c>
      <c r="V294" s="24">
        <v>44781</v>
      </c>
      <c r="W294" s="25">
        <v>157.145782</v>
      </c>
      <c r="X294" s="28">
        <f t="shared" si="33"/>
        <v>-3.3954577150783982E-2</v>
      </c>
      <c r="Z294" s="24">
        <v>44781</v>
      </c>
      <c r="AA294" s="27">
        <v>4280.1499999999996</v>
      </c>
      <c r="AB294" s="28">
        <f t="shared" si="34"/>
        <v>3.2558218079267842E-2</v>
      </c>
    </row>
    <row r="295" spans="2:28" x14ac:dyDescent="0.35">
      <c r="B295" s="24">
        <v>44788</v>
      </c>
      <c r="C295" s="25">
        <v>237.099121</v>
      </c>
      <c r="D295" s="28">
        <f t="shared" si="28"/>
        <v>9.9440154989622886E-3</v>
      </c>
      <c r="F295" s="24">
        <v>44788</v>
      </c>
      <c r="G295" s="25">
        <v>133.69137599999999</v>
      </c>
      <c r="H295" s="28">
        <f t="shared" si="29"/>
        <v>-5.2593552129082122E-3</v>
      </c>
      <c r="J295" s="24">
        <v>44788</v>
      </c>
      <c r="K295" s="233">
        <v>70.539130999999998</v>
      </c>
      <c r="L295" s="28">
        <f t="shared" si="30"/>
        <v>-3.1759003570607236E-3</v>
      </c>
      <c r="N295" s="24">
        <v>44788</v>
      </c>
      <c r="O295" s="25">
        <v>45.926082999999998</v>
      </c>
      <c r="P295" s="28">
        <f t="shared" si="31"/>
        <v>-1.915767867167284E-2</v>
      </c>
      <c r="R295" s="24">
        <v>44788</v>
      </c>
      <c r="S295" s="233">
        <v>618.35998500000005</v>
      </c>
      <c r="T295" s="28">
        <f t="shared" si="32"/>
        <v>-1.646233818108267E-2</v>
      </c>
      <c r="V295" s="24">
        <v>44788</v>
      </c>
      <c r="W295" s="25">
        <v>160.95796200000001</v>
      </c>
      <c r="X295" s="28">
        <f t="shared" si="33"/>
        <v>2.4258875748889075E-2</v>
      </c>
      <c r="Z295" s="24">
        <v>44788</v>
      </c>
      <c r="AA295" s="27">
        <v>4228.4799999999996</v>
      </c>
      <c r="AB295" s="28">
        <f t="shared" si="34"/>
        <v>-1.2072006822190784E-2</v>
      </c>
    </row>
    <row r="296" spans="2:28" x14ac:dyDescent="0.35">
      <c r="B296" s="24">
        <v>44795</v>
      </c>
      <c r="C296" s="25">
        <v>229.20567299999999</v>
      </c>
      <c r="D296" s="28">
        <f t="shared" si="28"/>
        <v>-3.3291764080390696E-2</v>
      </c>
      <c r="F296" s="24">
        <v>44795</v>
      </c>
      <c r="G296" s="25">
        <v>128.50770600000001</v>
      </c>
      <c r="H296" s="28">
        <f t="shared" si="29"/>
        <v>-3.8773405997406862E-2</v>
      </c>
      <c r="J296" s="24">
        <v>44795</v>
      </c>
      <c r="K296" s="233">
        <v>66.662414999999996</v>
      </c>
      <c r="L296" s="28">
        <f t="shared" si="30"/>
        <v>-5.4958374806176713E-2</v>
      </c>
      <c r="N296" s="24">
        <v>44795</v>
      </c>
      <c r="O296" s="25">
        <v>43.748908999999998</v>
      </c>
      <c r="P296" s="28">
        <f t="shared" si="31"/>
        <v>-4.7406045928192975E-2</v>
      </c>
      <c r="R296" s="24">
        <v>44795</v>
      </c>
      <c r="S296" s="233">
        <v>596.17999299999997</v>
      </c>
      <c r="T296" s="28">
        <f t="shared" si="32"/>
        <v>-3.5869060964544897E-2</v>
      </c>
      <c r="V296" s="24">
        <v>44795</v>
      </c>
      <c r="W296" s="25">
        <v>156.16658000000001</v>
      </c>
      <c r="X296" s="28">
        <f t="shared" si="33"/>
        <v>-2.976790921346284E-2</v>
      </c>
      <c r="Z296" s="24">
        <v>44795</v>
      </c>
      <c r="AA296" s="27">
        <v>4057.66</v>
      </c>
      <c r="AB296" s="28">
        <f t="shared" si="34"/>
        <v>-4.0397495080974677E-2</v>
      </c>
    </row>
    <row r="297" spans="2:28" x14ac:dyDescent="0.35">
      <c r="B297" s="24">
        <v>44802</v>
      </c>
      <c r="C297" s="25">
        <v>230.84390300000001</v>
      </c>
      <c r="D297" s="28">
        <f t="shared" si="28"/>
        <v>7.1474234409547588E-3</v>
      </c>
      <c r="F297" s="24">
        <v>44802</v>
      </c>
      <c r="G297" s="25">
        <v>128.44172699999999</v>
      </c>
      <c r="H297" s="28">
        <f t="shared" si="29"/>
        <v>-5.1342446343283221E-4</v>
      </c>
      <c r="J297" s="24">
        <v>44802</v>
      </c>
      <c r="K297" s="233">
        <v>64.246512999999993</v>
      </c>
      <c r="L297" s="28">
        <f t="shared" si="30"/>
        <v>-3.6240841259651324E-2</v>
      </c>
      <c r="N297" s="24">
        <v>44802</v>
      </c>
      <c r="O297" s="25">
        <v>42.702373999999999</v>
      </c>
      <c r="P297" s="28">
        <f t="shared" si="31"/>
        <v>-2.3921396531282668E-2</v>
      </c>
      <c r="R297" s="24">
        <v>44802</v>
      </c>
      <c r="S297" s="233">
        <v>580.61999500000002</v>
      </c>
      <c r="T297" s="28">
        <f t="shared" si="32"/>
        <v>-2.6099497102714642E-2</v>
      </c>
      <c r="V297" s="24">
        <v>44802</v>
      </c>
      <c r="W297" s="25">
        <v>155.75157200000001</v>
      </c>
      <c r="X297" s="28">
        <f t="shared" si="33"/>
        <v>-2.6574699913387567E-3</v>
      </c>
      <c r="Z297" s="24">
        <v>44802</v>
      </c>
      <c r="AA297" s="27">
        <v>3924.26</v>
      </c>
      <c r="AB297" s="28">
        <f t="shared" si="34"/>
        <v>-3.2876091146128439E-2</v>
      </c>
    </row>
    <row r="298" spans="2:28" x14ac:dyDescent="0.35">
      <c r="B298" s="24">
        <v>44809</v>
      </c>
      <c r="C298" s="25">
        <v>235.91090399999999</v>
      </c>
      <c r="D298" s="28">
        <f t="shared" si="28"/>
        <v>2.1949901791428195E-2</v>
      </c>
      <c r="F298" s="24">
        <v>44809</v>
      </c>
      <c r="G298" s="25">
        <v>133.28608700000001</v>
      </c>
      <c r="H298" s="28">
        <f t="shared" si="29"/>
        <v>3.7716403486228511E-2</v>
      </c>
      <c r="J298" s="24">
        <v>44809</v>
      </c>
      <c r="K298" s="233">
        <v>65.697922000000005</v>
      </c>
      <c r="L298" s="28">
        <f t="shared" si="30"/>
        <v>2.2591249427031279E-2</v>
      </c>
      <c r="N298" s="24">
        <v>44809</v>
      </c>
      <c r="O298" s="25">
        <v>44.702002999999998</v>
      </c>
      <c r="P298" s="28">
        <f t="shared" si="31"/>
        <v>4.6827115513530915E-2</v>
      </c>
      <c r="R298" s="24">
        <v>44809</v>
      </c>
      <c r="S298" s="233">
        <v>724.32000700000003</v>
      </c>
      <c r="T298" s="28">
        <f t="shared" si="32"/>
        <v>0.2474940808747037</v>
      </c>
      <c r="V298" s="24">
        <v>44809</v>
      </c>
      <c r="W298" s="25">
        <v>158.59402499999999</v>
      </c>
      <c r="X298" s="28">
        <f t="shared" si="33"/>
        <v>1.8249915320276644E-2</v>
      </c>
      <c r="Z298" s="24">
        <v>44809</v>
      </c>
      <c r="AA298" s="27">
        <v>4067.36</v>
      </c>
      <c r="AB298" s="28">
        <f t="shared" si="34"/>
        <v>3.646547374536846E-2</v>
      </c>
    </row>
    <row r="299" spans="2:28" x14ac:dyDescent="0.35">
      <c r="B299" s="24">
        <v>44816</v>
      </c>
      <c r="C299" s="25">
        <v>220.147919</v>
      </c>
      <c r="D299" s="28">
        <f t="shared" si="28"/>
        <v>-6.681753464011142E-2</v>
      </c>
      <c r="F299" s="24">
        <v>44816</v>
      </c>
      <c r="G299" s="25">
        <v>135.77424600000001</v>
      </c>
      <c r="H299" s="28">
        <f t="shared" si="29"/>
        <v>1.8667807390879476E-2</v>
      </c>
      <c r="J299" s="24">
        <v>44816</v>
      </c>
      <c r="K299" s="233">
        <v>66.971435999999997</v>
      </c>
      <c r="L299" s="28">
        <f t="shared" si="30"/>
        <v>1.9384387834975758E-2</v>
      </c>
      <c r="N299" s="24">
        <v>44816</v>
      </c>
      <c r="O299" s="25">
        <v>43.010727000000003</v>
      </c>
      <c r="P299" s="28">
        <f t="shared" si="31"/>
        <v>-3.7834456769196612E-2</v>
      </c>
      <c r="R299" s="24">
        <v>44816</v>
      </c>
      <c r="S299" s="233">
        <v>710.29998799999998</v>
      </c>
      <c r="T299" s="28">
        <f t="shared" si="32"/>
        <v>-1.9356111752412253E-2</v>
      </c>
      <c r="V299" s="24">
        <v>44816</v>
      </c>
      <c r="W299" s="25">
        <v>160.40287799999999</v>
      </c>
      <c r="X299" s="28">
        <f t="shared" si="33"/>
        <v>1.1405555789381072E-2</v>
      </c>
      <c r="Z299" s="24">
        <v>44816</v>
      </c>
      <c r="AA299" s="27">
        <v>3873.33</v>
      </c>
      <c r="AB299" s="28">
        <f t="shared" si="34"/>
        <v>-4.7704161913378784E-2</v>
      </c>
    </row>
    <row r="300" spans="2:28" x14ac:dyDescent="0.35">
      <c r="B300" s="24">
        <v>44823</v>
      </c>
      <c r="C300" s="25">
        <v>216.176254</v>
      </c>
      <c r="D300" s="28">
        <f t="shared" si="28"/>
        <v>-1.804089276901133E-2</v>
      </c>
      <c r="F300" s="24">
        <v>44823</v>
      </c>
      <c r="G300" s="25">
        <v>134.831772</v>
      </c>
      <c r="H300" s="28">
        <f t="shared" si="29"/>
        <v>-6.9414784303055699E-3</v>
      </c>
      <c r="J300" s="24">
        <v>44823</v>
      </c>
      <c r="K300" s="233">
        <v>66.212943999999993</v>
      </c>
      <c r="L300" s="28">
        <f t="shared" si="30"/>
        <v>-1.1325604545794787E-2</v>
      </c>
      <c r="N300" s="24">
        <v>44823</v>
      </c>
      <c r="O300" s="25">
        <v>41.188637</v>
      </c>
      <c r="P300" s="28">
        <f t="shared" si="31"/>
        <v>-4.236361780167075E-2</v>
      </c>
      <c r="R300" s="24">
        <v>44823</v>
      </c>
      <c r="S300" s="233">
        <v>697.330017</v>
      </c>
      <c r="T300" s="28">
        <f t="shared" si="32"/>
        <v>-1.8259849667912387E-2</v>
      </c>
      <c r="V300" s="24">
        <v>44823</v>
      </c>
      <c r="W300" s="25">
        <v>159.560654</v>
      </c>
      <c r="X300" s="28">
        <f t="shared" si="33"/>
        <v>-5.2506788562732831E-3</v>
      </c>
      <c r="Z300" s="24">
        <v>44823</v>
      </c>
      <c r="AA300" s="27">
        <v>3693.23</v>
      </c>
      <c r="AB300" s="28">
        <f t="shared" si="34"/>
        <v>-4.6497458259430524E-2</v>
      </c>
    </row>
    <row r="301" spans="2:28" x14ac:dyDescent="0.35">
      <c r="B301" s="24">
        <v>44830</v>
      </c>
      <c r="C301" s="25">
        <v>214.680893</v>
      </c>
      <c r="D301" s="28">
        <f t="shared" si="28"/>
        <v>-6.9173231209751496E-3</v>
      </c>
      <c r="F301" s="24">
        <v>44830</v>
      </c>
      <c r="G301" s="25">
        <v>126.490784</v>
      </c>
      <c r="H301" s="28">
        <f t="shared" si="29"/>
        <v>-6.1862184826881883E-2</v>
      </c>
      <c r="J301" s="24">
        <v>44830</v>
      </c>
      <c r="K301" s="233">
        <v>66.568779000000006</v>
      </c>
      <c r="L301" s="28">
        <f t="shared" si="30"/>
        <v>5.3741002665583792E-3</v>
      </c>
      <c r="N301" s="24">
        <v>44830</v>
      </c>
      <c r="O301" s="25">
        <v>40.889622000000003</v>
      </c>
      <c r="P301" s="28">
        <f t="shared" si="31"/>
        <v>-7.2596478489928007E-3</v>
      </c>
      <c r="R301" s="24">
        <v>44830</v>
      </c>
      <c r="S301" s="233">
        <v>688.86999500000002</v>
      </c>
      <c r="T301" s="28">
        <f t="shared" si="32"/>
        <v>-1.2132020411793065E-2</v>
      </c>
      <c r="V301" s="24">
        <v>44830</v>
      </c>
      <c r="W301" s="25">
        <v>156.344955</v>
      </c>
      <c r="X301" s="28">
        <f t="shared" si="33"/>
        <v>-2.0153458383292966E-2</v>
      </c>
      <c r="Z301" s="24">
        <v>44830</v>
      </c>
      <c r="AA301" s="27">
        <v>3585.62</v>
      </c>
      <c r="AB301" s="28">
        <f t="shared" si="34"/>
        <v>-2.9137096796029494E-2</v>
      </c>
    </row>
    <row r="302" spans="2:28" x14ac:dyDescent="0.35">
      <c r="B302" s="24">
        <v>44837</v>
      </c>
      <c r="C302" s="25">
        <v>218.13829000000001</v>
      </c>
      <c r="D302" s="28">
        <f t="shared" si="28"/>
        <v>1.6104819351576038E-2</v>
      </c>
      <c r="F302" s="24">
        <v>44837</v>
      </c>
      <c r="G302" s="25">
        <v>130.77908300000001</v>
      </c>
      <c r="H302" s="28">
        <f t="shared" si="29"/>
        <v>3.3902066730806313E-2</v>
      </c>
      <c r="J302" s="24">
        <v>44837</v>
      </c>
      <c r="K302" s="233">
        <v>65.267180999999994</v>
      </c>
      <c r="L302" s="28">
        <f t="shared" si="30"/>
        <v>-1.955267949258932E-2</v>
      </c>
      <c r="N302" s="24">
        <v>44837</v>
      </c>
      <c r="O302" s="25">
        <v>39.544083000000001</v>
      </c>
      <c r="P302" s="28">
        <f t="shared" si="31"/>
        <v>-3.2906613810223084E-2</v>
      </c>
      <c r="R302" s="24">
        <v>44837</v>
      </c>
      <c r="S302" s="233">
        <v>722.36999500000002</v>
      </c>
      <c r="T302" s="28">
        <f t="shared" si="32"/>
        <v>4.8630366024288829E-2</v>
      </c>
      <c r="V302" s="24">
        <v>44837</v>
      </c>
      <c r="W302" s="25">
        <v>153.32063299999999</v>
      </c>
      <c r="X302" s="28">
        <f t="shared" si="33"/>
        <v>-1.9343905276636653E-2</v>
      </c>
      <c r="Z302" s="24">
        <v>44837</v>
      </c>
      <c r="AA302" s="27">
        <v>3639.66</v>
      </c>
      <c r="AB302" s="28">
        <f t="shared" si="34"/>
        <v>1.5071312632124911E-2</v>
      </c>
    </row>
    <row r="303" spans="2:28" x14ac:dyDescent="0.35">
      <c r="B303" s="24">
        <v>44844</v>
      </c>
      <c r="C303" s="25">
        <v>239.387314</v>
      </c>
      <c r="D303" s="28">
        <f t="shared" si="28"/>
        <v>9.741079385925322E-2</v>
      </c>
      <c r="F303" s="24">
        <v>44844</v>
      </c>
      <c r="G303" s="25">
        <v>134.71867399999999</v>
      </c>
      <c r="H303" s="28">
        <f t="shared" si="29"/>
        <v>3.0124014556670131E-2</v>
      </c>
      <c r="J303" s="24">
        <v>44844</v>
      </c>
      <c r="K303" s="233">
        <v>66.632262999999995</v>
      </c>
      <c r="L303" s="28">
        <f t="shared" si="30"/>
        <v>2.0915289722716945E-2</v>
      </c>
      <c r="N303" s="24">
        <v>44844</v>
      </c>
      <c r="O303" s="25">
        <v>40.048656000000001</v>
      </c>
      <c r="P303" s="28">
        <f t="shared" si="31"/>
        <v>1.2759759785047953E-2</v>
      </c>
      <c r="R303" s="24">
        <v>44844</v>
      </c>
      <c r="S303" s="233">
        <v>736.05999799999995</v>
      </c>
      <c r="T303" s="28">
        <f t="shared" si="32"/>
        <v>1.8951511129694509E-2</v>
      </c>
      <c r="V303" s="24">
        <v>44844</v>
      </c>
      <c r="W303" s="25">
        <v>157.397705</v>
      </c>
      <c r="X303" s="28">
        <f t="shared" si="33"/>
        <v>2.6591802552758947E-2</v>
      </c>
      <c r="Z303" s="24">
        <v>44844</v>
      </c>
      <c r="AA303" s="27">
        <v>3583.07</v>
      </c>
      <c r="AB303" s="28">
        <f t="shared" si="34"/>
        <v>-1.554815559695133E-2</v>
      </c>
    </row>
    <row r="304" spans="2:28" x14ac:dyDescent="0.35">
      <c r="B304" s="24">
        <v>44851</v>
      </c>
      <c r="C304" s="25">
        <v>239.958786</v>
      </c>
      <c r="D304" s="28">
        <f t="shared" si="28"/>
        <v>2.3872275871728021E-3</v>
      </c>
      <c r="F304" s="24">
        <v>44851</v>
      </c>
      <c r="G304" s="25">
        <v>140.01203899999999</v>
      </c>
      <c r="H304" s="28">
        <f t="shared" si="29"/>
        <v>3.9291991546769545E-2</v>
      </c>
      <c r="J304" s="24">
        <v>44851</v>
      </c>
      <c r="K304" s="233">
        <v>68.132469</v>
      </c>
      <c r="L304" s="28">
        <f t="shared" si="30"/>
        <v>2.2514708828064389E-2</v>
      </c>
      <c r="N304" s="24">
        <v>44851</v>
      </c>
      <c r="O304" s="25">
        <v>42.001567999999999</v>
      </c>
      <c r="P304" s="28">
        <f t="shared" si="31"/>
        <v>4.8763484097943177E-2</v>
      </c>
      <c r="R304" s="24">
        <v>44851</v>
      </c>
      <c r="S304" s="233">
        <v>713.90997300000004</v>
      </c>
      <c r="T304" s="28">
        <f t="shared" si="32"/>
        <v>-3.009268953643085E-2</v>
      </c>
      <c r="V304" s="24">
        <v>44851</v>
      </c>
      <c r="W304" s="25">
        <v>161.46521000000001</v>
      </c>
      <c r="X304" s="28">
        <f t="shared" si="33"/>
        <v>2.5842212883599558E-2</v>
      </c>
      <c r="Z304" s="24">
        <v>44851</v>
      </c>
      <c r="AA304" s="27">
        <v>3752.75</v>
      </c>
      <c r="AB304" s="28">
        <f t="shared" si="34"/>
        <v>4.7356038257695188E-2</v>
      </c>
    </row>
    <row r="305" spans="2:28" x14ac:dyDescent="0.35">
      <c r="B305" s="24">
        <v>44858</v>
      </c>
      <c r="C305" s="25">
        <v>260.78872699999999</v>
      </c>
      <c r="D305" s="28">
        <f t="shared" si="28"/>
        <v>8.6806327649948889E-2</v>
      </c>
      <c r="F305" s="24">
        <v>44858</v>
      </c>
      <c r="G305" s="25">
        <v>140.53566000000001</v>
      </c>
      <c r="H305" s="28">
        <f t="shared" si="29"/>
        <v>3.7398284014706906E-3</v>
      </c>
      <c r="J305" s="24">
        <v>44858</v>
      </c>
      <c r="K305" s="233">
        <v>72.491600000000005</v>
      </c>
      <c r="L305" s="28">
        <f t="shared" si="30"/>
        <v>6.3980229455650628E-2</v>
      </c>
      <c r="N305" s="24">
        <v>44858</v>
      </c>
      <c r="O305" s="25">
        <v>44.318897</v>
      </c>
      <c r="P305" s="28">
        <f t="shared" si="31"/>
        <v>5.5172440228898223E-2</v>
      </c>
      <c r="R305" s="24">
        <v>44858</v>
      </c>
      <c r="S305" s="233">
        <v>750.76000999999997</v>
      </c>
      <c r="T305" s="28">
        <f t="shared" si="32"/>
        <v>5.1617204400644878E-2</v>
      </c>
      <c r="V305" s="24">
        <v>44858</v>
      </c>
      <c r="W305" s="25">
        <v>167.36068700000001</v>
      </c>
      <c r="X305" s="28">
        <f t="shared" si="33"/>
        <v>3.6512366967472509E-2</v>
      </c>
      <c r="Z305" s="24">
        <v>44858</v>
      </c>
      <c r="AA305" s="27">
        <v>3901.06</v>
      </c>
      <c r="AB305" s="28">
        <f t="shared" si="34"/>
        <v>3.9520351742055704E-2</v>
      </c>
    </row>
    <row r="306" spans="2:28" x14ac:dyDescent="0.35">
      <c r="B306" s="24">
        <v>44865</v>
      </c>
      <c r="C306" s="25">
        <v>256.245544</v>
      </c>
      <c r="D306" s="28">
        <f t="shared" si="28"/>
        <v>-1.7420933229218893E-2</v>
      </c>
      <c r="F306" s="24">
        <v>44865</v>
      </c>
      <c r="G306" s="25">
        <v>138.31732199999999</v>
      </c>
      <c r="H306" s="28">
        <f t="shared" si="29"/>
        <v>-1.5784876237106116E-2</v>
      </c>
      <c r="J306" s="24">
        <v>44865</v>
      </c>
      <c r="K306" s="233">
        <v>74.331481999999994</v>
      </c>
      <c r="L306" s="28">
        <f t="shared" si="30"/>
        <v>2.5380623410160563E-2</v>
      </c>
      <c r="N306" s="24">
        <v>44865</v>
      </c>
      <c r="O306" s="25">
        <v>44.122669000000002</v>
      </c>
      <c r="P306" s="28">
        <f t="shared" si="31"/>
        <v>-4.4276372672360509E-3</v>
      </c>
      <c r="R306" s="24">
        <v>44865</v>
      </c>
      <c r="S306" s="233">
        <v>740.21002199999998</v>
      </c>
      <c r="T306" s="28">
        <f t="shared" si="32"/>
        <v>-1.405241070312202E-2</v>
      </c>
      <c r="V306" s="24">
        <v>44865</v>
      </c>
      <c r="W306" s="25">
        <v>164.116241</v>
      </c>
      <c r="X306" s="28">
        <f t="shared" si="33"/>
        <v>-1.9385950536878527E-2</v>
      </c>
      <c r="Z306" s="24">
        <v>44865</v>
      </c>
      <c r="AA306" s="27">
        <v>3770.55</v>
      </c>
      <c r="AB306" s="28">
        <f t="shared" si="34"/>
        <v>-3.3455009664040025E-2</v>
      </c>
    </row>
    <row r="307" spans="2:28" x14ac:dyDescent="0.35">
      <c r="B307" s="24">
        <v>44872</v>
      </c>
      <c r="C307" s="25">
        <v>271.46560699999998</v>
      </c>
      <c r="D307" s="28">
        <f t="shared" si="28"/>
        <v>5.9396400664824656E-2</v>
      </c>
      <c r="F307" s="24">
        <v>44872</v>
      </c>
      <c r="G307" s="25">
        <v>142.96347</v>
      </c>
      <c r="H307" s="28">
        <f t="shared" si="29"/>
        <v>3.3590499966446696E-2</v>
      </c>
      <c r="J307" s="24">
        <v>44872</v>
      </c>
      <c r="K307" s="233">
        <v>71.670731000000004</v>
      </c>
      <c r="L307" s="28">
        <f t="shared" si="30"/>
        <v>-3.5795748025042595E-2</v>
      </c>
      <c r="N307" s="24">
        <v>44872</v>
      </c>
      <c r="O307" s="25">
        <v>44.858955000000002</v>
      </c>
      <c r="P307" s="28">
        <f t="shared" si="31"/>
        <v>1.668724981256231E-2</v>
      </c>
      <c r="R307" s="24">
        <v>44872</v>
      </c>
      <c r="S307" s="233">
        <v>734.45001200000002</v>
      </c>
      <c r="T307" s="28">
        <f t="shared" si="32"/>
        <v>-7.7815887772456627E-3</v>
      </c>
      <c r="V307" s="24">
        <v>44872</v>
      </c>
      <c r="W307" s="25">
        <v>161.98199500000001</v>
      </c>
      <c r="X307" s="28">
        <f t="shared" si="33"/>
        <v>-1.3004477722591723E-2</v>
      </c>
      <c r="Z307" s="24">
        <v>44872</v>
      </c>
      <c r="AA307" s="27">
        <v>3992.93</v>
      </c>
      <c r="AB307" s="28">
        <f t="shared" si="34"/>
        <v>5.8978133163596791E-2</v>
      </c>
    </row>
    <row r="308" spans="2:28" x14ac:dyDescent="0.35">
      <c r="B308" s="24">
        <v>44879</v>
      </c>
      <c r="C308" s="25">
        <v>273.62768599999998</v>
      </c>
      <c r="D308" s="28">
        <f t="shared" si="28"/>
        <v>7.9644674840890772E-3</v>
      </c>
      <c r="F308" s="24">
        <v>44879</v>
      </c>
      <c r="G308" s="25">
        <v>147.55246</v>
      </c>
      <c r="H308" s="28">
        <f t="shared" si="29"/>
        <v>3.2099039006258101E-2</v>
      </c>
      <c r="J308" s="24">
        <v>44879</v>
      </c>
      <c r="K308" s="233">
        <v>73.076576000000003</v>
      </c>
      <c r="L308" s="28">
        <f t="shared" si="30"/>
        <v>1.9615329443200435E-2</v>
      </c>
      <c r="N308" s="24">
        <v>44879</v>
      </c>
      <c r="O308" s="25">
        <v>45.452674999999999</v>
      </c>
      <c r="P308" s="28">
        <f t="shared" si="31"/>
        <v>1.3235261499069617E-2</v>
      </c>
      <c r="R308" s="24">
        <v>44879</v>
      </c>
      <c r="S308" s="233">
        <v>736.72997999999995</v>
      </c>
      <c r="T308" s="28">
        <f t="shared" si="32"/>
        <v>3.1043201889142669E-3</v>
      </c>
      <c r="V308" s="24">
        <v>44879</v>
      </c>
      <c r="W308" s="25">
        <v>168.63355999999999</v>
      </c>
      <c r="X308" s="28">
        <f t="shared" si="33"/>
        <v>4.1063607100282784E-2</v>
      </c>
      <c r="Z308" s="24">
        <v>44879</v>
      </c>
      <c r="AA308" s="27">
        <v>3965.34</v>
      </c>
      <c r="AB308" s="28">
        <f t="shared" si="34"/>
        <v>-6.9097129175818006E-3</v>
      </c>
    </row>
    <row r="309" spans="2:28" x14ac:dyDescent="0.35">
      <c r="B309" s="24">
        <v>44886</v>
      </c>
      <c r="C309" s="25">
        <v>272.10791</v>
      </c>
      <c r="D309" s="28">
        <f t="shared" si="28"/>
        <v>-5.5541748067114982E-3</v>
      </c>
      <c r="F309" s="24">
        <v>44886</v>
      </c>
      <c r="G309" s="25">
        <v>151.97009299999999</v>
      </c>
      <c r="H309" s="28">
        <f t="shared" si="29"/>
        <v>2.9939405957718268E-2</v>
      </c>
      <c r="J309" s="24">
        <v>44886</v>
      </c>
      <c r="K309" s="233">
        <v>74.765511000000004</v>
      </c>
      <c r="L309" s="28">
        <f t="shared" si="30"/>
        <v>2.311185187439535E-2</v>
      </c>
      <c r="N309" s="24">
        <v>44886</v>
      </c>
      <c r="O309" s="25">
        <v>46.376235999999999</v>
      </c>
      <c r="P309" s="28">
        <f t="shared" si="31"/>
        <v>2.0319178134180271E-2</v>
      </c>
      <c r="R309" s="24">
        <v>44886</v>
      </c>
      <c r="S309" s="233">
        <v>736.22997999999995</v>
      </c>
      <c r="T309" s="28">
        <f t="shared" si="32"/>
        <v>-6.7867470250093653E-4</v>
      </c>
      <c r="V309" s="24">
        <v>44886</v>
      </c>
      <c r="W309" s="25">
        <v>169.62889100000001</v>
      </c>
      <c r="X309" s="28">
        <f t="shared" si="33"/>
        <v>5.9023304732463977E-3</v>
      </c>
      <c r="Z309" s="24">
        <v>44886</v>
      </c>
      <c r="AA309" s="27">
        <v>4026.12</v>
      </c>
      <c r="AB309" s="28">
        <f t="shared" si="34"/>
        <v>1.5327815521493759E-2</v>
      </c>
    </row>
    <row r="310" spans="2:28" x14ac:dyDescent="0.35">
      <c r="B310" s="24">
        <v>44893</v>
      </c>
      <c r="C310" s="25">
        <v>273.80532799999997</v>
      </c>
      <c r="D310" s="28">
        <f t="shared" si="28"/>
        <v>6.2380325511299795E-3</v>
      </c>
      <c r="F310" s="24">
        <v>44893</v>
      </c>
      <c r="G310" s="25">
        <v>155.81646699999999</v>
      </c>
      <c r="H310" s="28">
        <f t="shared" si="29"/>
        <v>2.5310072028448261E-2</v>
      </c>
      <c r="J310" s="24">
        <v>44893</v>
      </c>
      <c r="K310" s="233">
        <v>76.548782000000003</v>
      </c>
      <c r="L310" s="28">
        <f t="shared" si="30"/>
        <v>2.3851518917592962E-2</v>
      </c>
      <c r="N310" s="24">
        <v>44893</v>
      </c>
      <c r="O310" s="25">
        <v>47.978347999999997</v>
      </c>
      <c r="P310" s="28">
        <f t="shared" si="31"/>
        <v>3.4545968758654677E-2</v>
      </c>
      <c r="R310" s="24">
        <v>44893</v>
      </c>
      <c r="S310" s="233">
        <v>766.39001499999995</v>
      </c>
      <c r="T310" s="28">
        <f t="shared" si="32"/>
        <v>4.0965507815913682E-2</v>
      </c>
      <c r="V310" s="24">
        <v>44893</v>
      </c>
      <c r="W310" s="25">
        <v>172.30349699999999</v>
      </c>
      <c r="X310" s="28">
        <f t="shared" si="33"/>
        <v>1.576739660462656E-2</v>
      </c>
      <c r="Z310" s="24">
        <v>44893</v>
      </c>
      <c r="AA310" s="27">
        <v>4071.7</v>
      </c>
      <c r="AB310" s="28">
        <f t="shared" si="34"/>
        <v>1.1321073390758274E-2</v>
      </c>
    </row>
    <row r="311" spans="2:28" x14ac:dyDescent="0.35">
      <c r="B311" s="24">
        <v>44900</v>
      </c>
      <c r="C311" s="25">
        <v>267.22653200000002</v>
      </c>
      <c r="D311" s="28">
        <f t="shared" si="28"/>
        <v>-2.4027275320222974E-2</v>
      </c>
      <c r="F311" s="24">
        <v>44900</v>
      </c>
      <c r="G311" s="25">
        <v>155.24522400000001</v>
      </c>
      <c r="H311" s="28">
        <f t="shared" si="29"/>
        <v>-3.6661272778054643E-3</v>
      </c>
      <c r="J311" s="24">
        <v>44900</v>
      </c>
      <c r="K311" s="233">
        <v>74.37867</v>
      </c>
      <c r="L311" s="28">
        <f t="shared" si="30"/>
        <v>-2.8349399471829684E-2</v>
      </c>
      <c r="N311" s="24">
        <v>44900</v>
      </c>
      <c r="O311" s="25">
        <v>48.741703000000001</v>
      </c>
      <c r="P311" s="28">
        <f t="shared" si="31"/>
        <v>1.5910406085678508E-2</v>
      </c>
      <c r="R311" s="24">
        <v>44900</v>
      </c>
      <c r="S311" s="233">
        <v>750.05999799999995</v>
      </c>
      <c r="T311" s="28">
        <f t="shared" si="32"/>
        <v>-2.1307711061449575E-2</v>
      </c>
      <c r="V311" s="24">
        <v>44900</v>
      </c>
      <c r="W311" s="25">
        <v>169.278931</v>
      </c>
      <c r="X311" s="28">
        <f t="shared" si="33"/>
        <v>-1.7553712215138573E-2</v>
      </c>
      <c r="Z311" s="24">
        <v>44900</v>
      </c>
      <c r="AA311" s="27">
        <v>3934.38</v>
      </c>
      <c r="AB311" s="28">
        <f t="shared" si="34"/>
        <v>-3.3725470933516632E-2</v>
      </c>
    </row>
    <row r="312" spans="2:28" x14ac:dyDescent="0.35">
      <c r="B312" s="24">
        <v>44907</v>
      </c>
      <c r="C312" s="25">
        <v>256.44738799999999</v>
      </c>
      <c r="D312" s="28">
        <f t="shared" si="28"/>
        <v>-4.0337102455081153E-2</v>
      </c>
      <c r="F312" s="24">
        <v>44907</v>
      </c>
      <c r="G312" s="25">
        <v>152.78886399999999</v>
      </c>
      <c r="H312" s="28">
        <f t="shared" si="29"/>
        <v>-1.5822451323848852E-2</v>
      </c>
      <c r="J312" s="24">
        <v>44907</v>
      </c>
      <c r="K312" s="233">
        <v>69.340194999999994</v>
      </c>
      <c r="L312" s="28">
        <f t="shared" si="30"/>
        <v>-6.7740859039291834E-2</v>
      </c>
      <c r="N312" s="24">
        <v>44907</v>
      </c>
      <c r="O312" s="25">
        <v>48.440131999999998</v>
      </c>
      <c r="P312" s="28">
        <f t="shared" si="31"/>
        <v>-6.1871248117859601E-3</v>
      </c>
      <c r="R312" s="24">
        <v>44907</v>
      </c>
      <c r="S312" s="233">
        <v>723.169983</v>
      </c>
      <c r="T312" s="28">
        <f t="shared" si="32"/>
        <v>-3.5850485390103382E-2</v>
      </c>
      <c r="V312" s="24">
        <v>44907</v>
      </c>
      <c r="W312" s="25">
        <v>169.211502</v>
      </c>
      <c r="X312" s="28">
        <f t="shared" si="33"/>
        <v>-3.9833072906159117E-4</v>
      </c>
      <c r="Z312" s="24">
        <v>44907</v>
      </c>
      <c r="AA312" s="27">
        <v>3852.36</v>
      </c>
      <c r="AB312" s="28">
        <f t="shared" si="34"/>
        <v>-2.0846994952190667E-2</v>
      </c>
    </row>
    <row r="313" spans="2:28" x14ac:dyDescent="0.35">
      <c r="B313" s="24">
        <v>44914</v>
      </c>
      <c r="C313" s="25">
        <v>253.10046399999999</v>
      </c>
      <c r="D313" s="28">
        <f t="shared" si="28"/>
        <v>-1.3051113626472155E-2</v>
      </c>
      <c r="F313" s="24">
        <v>44914</v>
      </c>
      <c r="G313" s="25">
        <v>155.28331</v>
      </c>
      <c r="H313" s="28">
        <f t="shared" si="29"/>
        <v>1.6326098216163265E-2</v>
      </c>
      <c r="J313" s="24">
        <v>44914</v>
      </c>
      <c r="K313" s="233">
        <v>68.774078000000003</v>
      </c>
      <c r="L313" s="28">
        <f t="shared" si="30"/>
        <v>-8.1643410434596442E-3</v>
      </c>
      <c r="N313" s="24">
        <v>44914</v>
      </c>
      <c r="O313" s="25">
        <v>48.845374999999997</v>
      </c>
      <c r="P313" s="28">
        <f t="shared" si="31"/>
        <v>8.365852512540517E-3</v>
      </c>
      <c r="R313" s="24">
        <v>44914</v>
      </c>
      <c r="S313" s="233">
        <v>726.73999000000003</v>
      </c>
      <c r="T313" s="28">
        <f t="shared" si="32"/>
        <v>4.9366083824307072E-3</v>
      </c>
      <c r="V313" s="24">
        <v>44914</v>
      </c>
      <c r="W313" s="25">
        <v>170.95494099999999</v>
      </c>
      <c r="X313" s="28">
        <f t="shared" si="33"/>
        <v>1.0303312596326997E-2</v>
      </c>
      <c r="Z313" s="24">
        <v>44914</v>
      </c>
      <c r="AA313" s="27">
        <v>3844.82</v>
      </c>
      <c r="AB313" s="28">
        <f t="shared" si="34"/>
        <v>-1.9572417946401854E-3</v>
      </c>
    </row>
    <row r="314" spans="2:28" x14ac:dyDescent="0.35">
      <c r="B314" s="24">
        <v>44921</v>
      </c>
      <c r="C314" s="25">
        <v>251.872894</v>
      </c>
      <c r="D314" s="28">
        <f t="shared" si="28"/>
        <v>-4.8501293936781265E-3</v>
      </c>
      <c r="F314" s="24">
        <v>44921</v>
      </c>
      <c r="G314" s="25">
        <v>153.8647</v>
      </c>
      <c r="H314" s="28">
        <f t="shared" si="29"/>
        <v>-9.1356244273772536E-3</v>
      </c>
      <c r="J314" s="24">
        <v>44921</v>
      </c>
      <c r="K314" s="233">
        <v>67.887161000000006</v>
      </c>
      <c r="L314" s="28">
        <f t="shared" si="30"/>
        <v>-1.2896094368578748E-2</v>
      </c>
      <c r="N314" s="24">
        <v>44921</v>
      </c>
      <c r="O314" s="25">
        <v>48.289344999999997</v>
      </c>
      <c r="P314" s="28">
        <f t="shared" si="31"/>
        <v>-1.1383472846712706E-2</v>
      </c>
      <c r="R314" s="24">
        <v>44921</v>
      </c>
      <c r="S314" s="233">
        <v>721.48999000000003</v>
      </c>
      <c r="T314" s="28">
        <f t="shared" si="32"/>
        <v>-7.2240417098831111E-3</v>
      </c>
      <c r="V314" s="24">
        <v>44921</v>
      </c>
      <c r="W314" s="25">
        <v>170.155472</v>
      </c>
      <c r="X314" s="28">
        <f t="shared" si="33"/>
        <v>-4.676489578619325E-3</v>
      </c>
      <c r="Z314" s="24">
        <v>44921</v>
      </c>
      <c r="AA314" s="27">
        <v>3839.5</v>
      </c>
      <c r="AB314" s="28">
        <f t="shared" si="34"/>
        <v>-1.3836798601755129E-3</v>
      </c>
    </row>
    <row r="315" spans="2:28" x14ac:dyDescent="0.35">
      <c r="B315" s="24">
        <v>44928</v>
      </c>
      <c r="C315" s="25">
        <v>263.91802999999999</v>
      </c>
      <c r="D315" s="28">
        <f t="shared" si="28"/>
        <v>4.7822279756709385E-2</v>
      </c>
      <c r="F315" s="24">
        <v>44928</v>
      </c>
      <c r="G315" s="25">
        <v>158.56796299999999</v>
      </c>
      <c r="H315" s="28">
        <f t="shared" si="29"/>
        <v>3.0567524584911299E-2</v>
      </c>
      <c r="J315" s="24">
        <v>44928</v>
      </c>
      <c r="K315" s="233">
        <v>68.877869000000004</v>
      </c>
      <c r="L315" s="28">
        <f t="shared" si="30"/>
        <v>1.459345162482184E-2</v>
      </c>
      <c r="N315" s="24">
        <v>44928</v>
      </c>
      <c r="O315" s="25">
        <v>47.987769999999998</v>
      </c>
      <c r="P315" s="28">
        <f t="shared" si="31"/>
        <v>-6.2451665061930006E-3</v>
      </c>
      <c r="R315" s="24">
        <v>44928</v>
      </c>
      <c r="S315" s="233">
        <v>737.15002400000003</v>
      </c>
      <c r="T315" s="28">
        <f t="shared" si="32"/>
        <v>2.1705129963064396E-2</v>
      </c>
      <c r="V315" s="24">
        <v>44928</v>
      </c>
      <c r="W315" s="25">
        <v>173.62312299999999</v>
      </c>
      <c r="X315" s="28">
        <f t="shared" si="33"/>
        <v>2.0379309341282736E-2</v>
      </c>
      <c r="Z315" s="24">
        <v>44928</v>
      </c>
      <c r="AA315" s="27">
        <v>3895.08</v>
      </c>
      <c r="AB315" s="28">
        <f t="shared" si="34"/>
        <v>1.447584320875106E-2</v>
      </c>
    </row>
    <row r="316" spans="2:28" x14ac:dyDescent="0.35">
      <c r="B316" s="24">
        <v>44935</v>
      </c>
      <c r="C316" s="25">
        <v>260.59027099999997</v>
      </c>
      <c r="D316" s="28">
        <f t="shared" si="28"/>
        <v>-1.2609062745732147E-2</v>
      </c>
      <c r="F316" s="24">
        <v>44935</v>
      </c>
      <c r="G316" s="25">
        <v>146.23860199999999</v>
      </c>
      <c r="H316" s="28">
        <f t="shared" si="29"/>
        <v>-7.7754426346512417E-2</v>
      </c>
      <c r="J316" s="24">
        <v>44935</v>
      </c>
      <c r="K316" s="233">
        <v>68.956787000000006</v>
      </c>
      <c r="L316" s="28">
        <f t="shared" si="30"/>
        <v>1.1457671549042203E-3</v>
      </c>
      <c r="N316" s="24">
        <v>44935</v>
      </c>
      <c r="O316" s="25">
        <v>45.094558999999997</v>
      </c>
      <c r="P316" s="28">
        <f t="shared" si="31"/>
        <v>-6.029059070675713E-2</v>
      </c>
      <c r="R316" s="24">
        <v>44935</v>
      </c>
      <c r="S316" s="233">
        <v>722.13000499999998</v>
      </c>
      <c r="T316" s="28">
        <f t="shared" si="32"/>
        <v>-2.0375796664153789E-2</v>
      </c>
      <c r="V316" s="24">
        <v>44935</v>
      </c>
      <c r="W316" s="25">
        <v>167.05384799999999</v>
      </c>
      <c r="X316" s="28">
        <f t="shared" si="33"/>
        <v>-3.7836406156569358E-2</v>
      </c>
      <c r="Z316" s="24">
        <v>44935</v>
      </c>
      <c r="AA316" s="27">
        <v>3999.09</v>
      </c>
      <c r="AB316" s="28">
        <f t="shared" si="34"/>
        <v>2.6702917526726155E-2</v>
      </c>
    </row>
    <row r="317" spans="2:28" x14ac:dyDescent="0.35">
      <c r="B317" s="24">
        <v>44942</v>
      </c>
      <c r="C317" s="25">
        <v>252.44830300000001</v>
      </c>
      <c r="D317" s="28">
        <f t="shared" si="28"/>
        <v>-3.1244328380931607E-2</v>
      </c>
      <c r="F317" s="24">
        <v>44942</v>
      </c>
      <c r="G317" s="25">
        <v>143.77462800000001</v>
      </c>
      <c r="H317" s="28">
        <f t="shared" si="29"/>
        <v>-1.68489985975111E-2</v>
      </c>
      <c r="J317" s="24">
        <v>44942</v>
      </c>
      <c r="K317" s="233">
        <v>70.516411000000005</v>
      </c>
      <c r="L317" s="28">
        <f t="shared" si="30"/>
        <v>2.2617411104145502E-2</v>
      </c>
      <c r="N317" s="24">
        <v>44942</v>
      </c>
      <c r="O317" s="25">
        <v>42.512340999999999</v>
      </c>
      <c r="P317" s="28">
        <f t="shared" si="31"/>
        <v>-5.7262296322711514E-2</v>
      </c>
      <c r="R317" s="24">
        <v>44942</v>
      </c>
      <c r="S317" s="233">
        <v>722</v>
      </c>
      <c r="T317" s="28">
        <f t="shared" si="32"/>
        <v>-1.8002991026522253E-4</v>
      </c>
      <c r="V317" s="24">
        <v>44942</v>
      </c>
      <c r="W317" s="25">
        <v>162.53628499999999</v>
      </c>
      <c r="X317" s="28">
        <f t="shared" si="33"/>
        <v>-2.7042555763217124E-2</v>
      </c>
      <c r="Z317" s="24">
        <v>44942</v>
      </c>
      <c r="AA317" s="27">
        <v>3972.61</v>
      </c>
      <c r="AB317" s="28">
        <f t="shared" si="34"/>
        <v>-6.6215063927043127E-3</v>
      </c>
    </row>
    <row r="318" spans="2:28" x14ac:dyDescent="0.35">
      <c r="B318" s="24">
        <v>44949</v>
      </c>
      <c r="C318" s="25">
        <v>243.25145000000001</v>
      </c>
      <c r="D318" s="28">
        <f t="shared" si="28"/>
        <v>-3.6430639028696477E-2</v>
      </c>
      <c r="F318" s="24">
        <v>44949</v>
      </c>
      <c r="G318" s="25">
        <v>140.59330700000001</v>
      </c>
      <c r="H318" s="28">
        <f t="shared" si="29"/>
        <v>-2.2127137758965354E-2</v>
      </c>
      <c r="J318" s="24">
        <v>44949</v>
      </c>
      <c r="K318" s="233">
        <v>68.899726999999999</v>
      </c>
      <c r="L318" s="28">
        <f t="shared" si="30"/>
        <v>-2.2926351143991219E-2</v>
      </c>
      <c r="N318" s="24">
        <v>44949</v>
      </c>
      <c r="O318" s="25">
        <v>41.268355999999997</v>
      </c>
      <c r="P318" s="28">
        <f t="shared" si="31"/>
        <v>-2.9261738373805413E-2</v>
      </c>
      <c r="R318" s="24">
        <v>44949</v>
      </c>
      <c r="S318" s="233">
        <v>742.830017</v>
      </c>
      <c r="T318" s="28">
        <f t="shared" si="32"/>
        <v>2.885043905817164E-2</v>
      </c>
      <c r="V318" s="24">
        <v>44949</v>
      </c>
      <c r="W318" s="25">
        <v>162.04501300000001</v>
      </c>
      <c r="X318" s="28">
        <f t="shared" si="33"/>
        <v>-3.0225373983414627E-3</v>
      </c>
      <c r="Z318" s="24">
        <v>44949</v>
      </c>
      <c r="AA318" s="27">
        <v>4070.56</v>
      </c>
      <c r="AB318" s="28">
        <f t="shared" si="34"/>
        <v>2.4656334248768452E-2</v>
      </c>
    </row>
    <row r="319" spans="2:28" x14ac:dyDescent="0.35">
      <c r="B319" s="24">
        <v>44956</v>
      </c>
      <c r="C319" s="25">
        <v>235.11908</v>
      </c>
      <c r="D319" s="28">
        <f t="shared" si="28"/>
        <v>-3.3431948709863879E-2</v>
      </c>
      <c r="F319" s="24">
        <v>44956</v>
      </c>
      <c r="G319" s="25">
        <v>139.55529799999999</v>
      </c>
      <c r="H319" s="28">
        <f t="shared" si="29"/>
        <v>-7.3830612718998045E-3</v>
      </c>
      <c r="J319" s="24">
        <v>44956</v>
      </c>
      <c r="K319" s="233">
        <v>70.801711999999995</v>
      </c>
      <c r="L319" s="28">
        <f t="shared" si="30"/>
        <v>2.7605116635658122E-2</v>
      </c>
      <c r="N319" s="24">
        <v>44956</v>
      </c>
      <c r="O319" s="25">
        <v>41.904007</v>
      </c>
      <c r="P319" s="28">
        <f t="shared" si="31"/>
        <v>1.5402867029643774E-2</v>
      </c>
      <c r="R319" s="24">
        <v>44956</v>
      </c>
      <c r="S319" s="233">
        <v>783.13000499999998</v>
      </c>
      <c r="T319" s="28">
        <f t="shared" si="32"/>
        <v>5.4251964887950921E-2</v>
      </c>
      <c r="V319" s="24">
        <v>44956</v>
      </c>
      <c r="W319" s="25">
        <v>158.558121</v>
      </c>
      <c r="X319" s="28">
        <f t="shared" si="33"/>
        <v>-2.1518045729676416E-2</v>
      </c>
      <c r="Z319" s="24">
        <v>44956</v>
      </c>
      <c r="AA319" s="27">
        <v>4136.4799999999996</v>
      </c>
      <c r="AB319" s="28">
        <f t="shared" si="34"/>
        <v>1.6194331983805599E-2</v>
      </c>
    </row>
    <row r="320" spans="2:28" x14ac:dyDescent="0.35">
      <c r="B320" s="24">
        <v>44963</v>
      </c>
      <c r="C320" s="25">
        <v>232.558548</v>
      </c>
      <c r="D320" s="28">
        <f t="shared" si="28"/>
        <v>-1.0890362449529789E-2</v>
      </c>
      <c r="F320" s="24">
        <v>44963</v>
      </c>
      <c r="G320" s="25">
        <v>146.13902300000001</v>
      </c>
      <c r="H320" s="28">
        <f t="shared" si="29"/>
        <v>4.7176460473754345E-2</v>
      </c>
      <c r="J320" s="24">
        <v>44963</v>
      </c>
      <c r="K320" s="233">
        <v>68.661972000000006</v>
      </c>
      <c r="L320" s="28">
        <f t="shared" si="30"/>
        <v>-3.0221585602336676E-2</v>
      </c>
      <c r="N320" s="24">
        <v>44963</v>
      </c>
      <c r="O320" s="25">
        <v>41.732818999999999</v>
      </c>
      <c r="P320" s="28">
        <f t="shared" si="31"/>
        <v>-4.0852417765203652E-3</v>
      </c>
      <c r="R320" s="24">
        <v>44963</v>
      </c>
      <c r="S320" s="233">
        <v>757.60998500000005</v>
      </c>
      <c r="T320" s="28">
        <f t="shared" si="32"/>
        <v>-3.2587207535229035E-2</v>
      </c>
      <c r="V320" s="24">
        <v>44963</v>
      </c>
      <c r="W320" s="25">
        <v>156.188568</v>
      </c>
      <c r="X320" s="28">
        <f t="shared" si="33"/>
        <v>-1.4944381183730093E-2</v>
      </c>
      <c r="Z320" s="24">
        <v>44963</v>
      </c>
      <c r="AA320" s="27">
        <v>4090.46</v>
      </c>
      <c r="AB320" s="28">
        <f t="shared" si="34"/>
        <v>-1.1125401307391702E-2</v>
      </c>
    </row>
    <row r="321" spans="2:28" x14ac:dyDescent="0.35">
      <c r="B321" s="24">
        <v>44970</v>
      </c>
      <c r="C321" s="25">
        <v>230.66932700000001</v>
      </c>
      <c r="D321" s="28">
        <f t="shared" si="28"/>
        <v>-8.1236360316456757E-3</v>
      </c>
      <c r="F321" s="24">
        <v>44970</v>
      </c>
      <c r="G321" s="25">
        <v>145.42778000000001</v>
      </c>
      <c r="H321" s="28">
        <f t="shared" si="29"/>
        <v>-4.8668930816651024E-3</v>
      </c>
      <c r="J321" s="24">
        <v>44970</v>
      </c>
      <c r="K321" s="233">
        <v>67.625388999999998</v>
      </c>
      <c r="L321" s="28">
        <f t="shared" si="30"/>
        <v>-1.5096901091043669E-2</v>
      </c>
      <c r="N321" s="24">
        <v>44970</v>
      </c>
      <c r="O321" s="25">
        <v>41.095596</v>
      </c>
      <c r="P321" s="28">
        <f t="shared" si="31"/>
        <v>-1.5269109906043021E-2</v>
      </c>
      <c r="R321" s="24">
        <v>44970</v>
      </c>
      <c r="S321" s="233">
        <v>748.73999000000003</v>
      </c>
      <c r="T321" s="28">
        <f t="shared" si="32"/>
        <v>-1.1707864436343196E-2</v>
      </c>
      <c r="V321" s="24">
        <v>44970</v>
      </c>
      <c r="W321" s="25">
        <v>154.493256</v>
      </c>
      <c r="X321" s="28">
        <f t="shared" si="33"/>
        <v>-1.0854264314658413E-2</v>
      </c>
      <c r="Z321" s="24">
        <v>44970</v>
      </c>
      <c r="AA321" s="27">
        <v>4079.09</v>
      </c>
      <c r="AB321" s="28">
        <f t="shared" si="34"/>
        <v>-2.7796384758682624E-3</v>
      </c>
    </row>
    <row r="322" spans="2:28" x14ac:dyDescent="0.35">
      <c r="B322" s="24">
        <v>44977</v>
      </c>
      <c r="C322" s="25">
        <v>226.05708300000001</v>
      </c>
      <c r="D322" s="28">
        <f t="shared" si="28"/>
        <v>-1.9995046849033415E-2</v>
      </c>
      <c r="F322" s="24">
        <v>44977</v>
      </c>
      <c r="G322" s="25">
        <v>146.77337600000001</v>
      </c>
      <c r="H322" s="28">
        <f t="shared" si="29"/>
        <v>9.2526751078783054E-3</v>
      </c>
      <c r="J322" s="24">
        <v>44977</v>
      </c>
      <c r="K322" s="233">
        <v>66.740966999999998</v>
      </c>
      <c r="L322" s="28">
        <f t="shared" si="30"/>
        <v>-1.3078253790155703E-2</v>
      </c>
      <c r="N322" s="24">
        <v>44977</v>
      </c>
      <c r="O322" s="25">
        <v>39.707042999999999</v>
      </c>
      <c r="P322" s="28">
        <f t="shared" si="31"/>
        <v>-3.3788365059847281E-2</v>
      </c>
      <c r="R322" s="24">
        <v>44977</v>
      </c>
      <c r="S322" s="233">
        <v>756.98999000000003</v>
      </c>
      <c r="T322" s="28">
        <f t="shared" si="32"/>
        <v>1.1018511245806328E-2</v>
      </c>
      <c r="V322" s="24">
        <v>44977</v>
      </c>
      <c r="W322" s="25">
        <v>151.31632999999999</v>
      </c>
      <c r="X322" s="28">
        <f t="shared" si="33"/>
        <v>-2.0563525439582953E-2</v>
      </c>
      <c r="Z322" s="24">
        <v>44977</v>
      </c>
      <c r="AA322" s="27">
        <v>3970.04</v>
      </c>
      <c r="AB322" s="28">
        <f t="shared" si="34"/>
        <v>-2.6733903885425514E-2</v>
      </c>
    </row>
    <row r="323" spans="2:28" x14ac:dyDescent="0.35">
      <c r="B323" s="24">
        <v>44984</v>
      </c>
      <c r="C323" s="25">
        <v>227.169647</v>
      </c>
      <c r="D323" s="28">
        <f t="shared" si="28"/>
        <v>4.9216064599046927E-3</v>
      </c>
      <c r="F323" s="24">
        <v>44984</v>
      </c>
      <c r="G323" s="25">
        <v>149.99310299999999</v>
      </c>
      <c r="H323" s="28">
        <f t="shared" si="29"/>
        <v>2.1936723728423146E-2</v>
      </c>
      <c r="J323" s="24">
        <v>44984</v>
      </c>
      <c r="K323" s="233">
        <v>65.904090999999994</v>
      </c>
      <c r="L323" s="28">
        <f t="shared" si="30"/>
        <v>-1.253916503786956E-2</v>
      </c>
      <c r="N323" s="24">
        <v>44984</v>
      </c>
      <c r="O323" s="25">
        <v>39.136401999999997</v>
      </c>
      <c r="P323" s="28">
        <f t="shared" si="31"/>
        <v>-1.4371279170801055E-2</v>
      </c>
      <c r="R323" s="24">
        <v>44984</v>
      </c>
      <c r="S323" s="233">
        <v>779.29998799999998</v>
      </c>
      <c r="T323" s="28">
        <f t="shared" si="32"/>
        <v>2.9471985488209729E-2</v>
      </c>
      <c r="V323" s="24">
        <v>44984</v>
      </c>
      <c r="W323" s="25">
        <v>149.42451500000001</v>
      </c>
      <c r="X323" s="28">
        <f t="shared" si="33"/>
        <v>-1.2502384904524044E-2</v>
      </c>
      <c r="Z323" s="24">
        <v>44984</v>
      </c>
      <c r="AA323" s="27">
        <v>4045.64</v>
      </c>
      <c r="AB323" s="28">
        <f t="shared" si="34"/>
        <v>1.9042629293407609E-2</v>
      </c>
    </row>
    <row r="324" spans="2:28" x14ac:dyDescent="0.35">
      <c r="B324" s="24">
        <v>44991</v>
      </c>
      <c r="C324" s="25">
        <v>220.45547500000001</v>
      </c>
      <c r="D324" s="28">
        <f t="shared" si="28"/>
        <v>-2.9555761910392886E-2</v>
      </c>
      <c r="F324" s="24">
        <v>44991</v>
      </c>
      <c r="G324" s="25">
        <v>143.889984</v>
      </c>
      <c r="H324" s="28">
        <f t="shared" si="29"/>
        <v>-4.0689330895434472E-2</v>
      </c>
      <c r="J324" s="24">
        <v>44991</v>
      </c>
      <c r="K324" s="233">
        <v>62.490009000000001</v>
      </c>
      <c r="L324" s="28">
        <f t="shared" si="30"/>
        <v>-5.1803794699178729E-2</v>
      </c>
      <c r="N324" s="24">
        <v>44991</v>
      </c>
      <c r="O324" s="25">
        <v>37.462524000000002</v>
      </c>
      <c r="P324" s="28">
        <f t="shared" si="31"/>
        <v>-4.2770359932422841E-2</v>
      </c>
      <c r="R324" s="24">
        <v>44991</v>
      </c>
      <c r="S324" s="233">
        <v>747</v>
      </c>
      <c r="T324" s="28">
        <f t="shared" si="32"/>
        <v>-4.1447438082085508E-2</v>
      </c>
      <c r="V324" s="24">
        <v>44991</v>
      </c>
      <c r="W324" s="25">
        <v>147.086411</v>
      </c>
      <c r="X324" s="28">
        <f t="shared" si="33"/>
        <v>-1.5647392263578808E-2</v>
      </c>
      <c r="Z324" s="24">
        <v>44991</v>
      </c>
      <c r="AA324" s="27">
        <v>3861.59</v>
      </c>
      <c r="AB324" s="28">
        <f t="shared" si="34"/>
        <v>-4.5493420076922253E-2</v>
      </c>
    </row>
    <row r="325" spans="2:28" x14ac:dyDescent="0.35">
      <c r="B325" s="24">
        <v>44998</v>
      </c>
      <c r="C325" s="25">
        <v>222.31298799999999</v>
      </c>
      <c r="D325" s="28">
        <f t="shared" si="28"/>
        <v>8.4257966376202198E-3</v>
      </c>
      <c r="F325" s="24">
        <v>44998</v>
      </c>
      <c r="G325" s="25">
        <v>148.22463999999999</v>
      </c>
      <c r="H325" s="28">
        <f t="shared" si="29"/>
        <v>3.0124793119721271E-2</v>
      </c>
      <c r="J325" s="24">
        <v>44998</v>
      </c>
      <c r="K325" s="233">
        <v>63.269821</v>
      </c>
      <c r="L325" s="28">
        <f t="shared" si="30"/>
        <v>1.2478986840920525E-2</v>
      </c>
      <c r="N325" s="24">
        <v>44998</v>
      </c>
      <c r="O325" s="25">
        <v>38.137779000000002</v>
      </c>
      <c r="P325" s="28">
        <f t="shared" si="31"/>
        <v>1.8024813277396801E-2</v>
      </c>
      <c r="R325" s="24">
        <v>44998</v>
      </c>
      <c r="S325" s="233">
        <v>747.65002400000003</v>
      </c>
      <c r="T325" s="28">
        <f t="shared" si="32"/>
        <v>8.7017938420341778E-4</v>
      </c>
      <c r="V325" s="24">
        <v>44998</v>
      </c>
      <c r="W325" s="25">
        <v>147.83345</v>
      </c>
      <c r="X325" s="28">
        <f t="shared" si="33"/>
        <v>5.0789124224399629E-3</v>
      </c>
      <c r="Z325" s="24">
        <v>44998</v>
      </c>
      <c r="AA325" s="27">
        <v>3916.64</v>
      </c>
      <c r="AB325" s="28">
        <f t="shared" si="34"/>
        <v>1.4255785829153211E-2</v>
      </c>
    </row>
    <row r="326" spans="2:28" x14ac:dyDescent="0.35">
      <c r="B326" s="24">
        <v>45005</v>
      </c>
      <c r="C326" s="25">
        <v>230.28488200000001</v>
      </c>
      <c r="D326" s="28">
        <f t="shared" si="28"/>
        <v>3.5858876585294297E-2</v>
      </c>
      <c r="F326" s="24">
        <v>45005</v>
      </c>
      <c r="G326" s="25">
        <v>151.876938</v>
      </c>
      <c r="H326" s="28">
        <f t="shared" si="29"/>
        <v>2.4640289225866807E-2</v>
      </c>
      <c r="J326" s="24">
        <v>45005</v>
      </c>
      <c r="K326" s="233">
        <v>64.363472000000002</v>
      </c>
      <c r="L326" s="28">
        <f t="shared" si="30"/>
        <v>1.7285508046561482E-2</v>
      </c>
      <c r="N326" s="24">
        <v>45005</v>
      </c>
      <c r="O326" s="25">
        <v>38.413586000000002</v>
      </c>
      <c r="P326" s="28">
        <f t="shared" si="31"/>
        <v>7.2318579432746333E-3</v>
      </c>
      <c r="R326" s="24">
        <v>45005</v>
      </c>
      <c r="S326" s="233">
        <v>820</v>
      </c>
      <c r="T326" s="28">
        <f t="shared" si="32"/>
        <v>9.6769843747105844E-2</v>
      </c>
      <c r="V326" s="24">
        <v>45005</v>
      </c>
      <c r="W326" s="25">
        <v>148.09539799999999</v>
      </c>
      <c r="X326" s="28">
        <f t="shared" si="33"/>
        <v>1.7719129195725714E-3</v>
      </c>
      <c r="Z326" s="24">
        <v>45005</v>
      </c>
      <c r="AA326" s="27">
        <v>3970.99</v>
      </c>
      <c r="AB326" s="28">
        <f t="shared" si="34"/>
        <v>1.3876690224273736E-2</v>
      </c>
    </row>
    <row r="327" spans="2:28" x14ac:dyDescent="0.35">
      <c r="B327" s="24">
        <v>45012</v>
      </c>
      <c r="C327" s="25">
        <v>233.883835</v>
      </c>
      <c r="D327" s="28">
        <f t="shared" si="28"/>
        <v>1.5628264299173633E-2</v>
      </c>
      <c r="F327" s="24">
        <v>45012</v>
      </c>
      <c r="G327" s="25">
        <v>153.17442299999999</v>
      </c>
      <c r="H327" s="28">
        <f t="shared" si="29"/>
        <v>8.5430020981855925E-3</v>
      </c>
      <c r="J327" s="24">
        <v>45012</v>
      </c>
      <c r="K327" s="233">
        <v>65.913596999999996</v>
      </c>
      <c r="L327" s="28">
        <f t="shared" si="30"/>
        <v>2.4083924496801412E-2</v>
      </c>
      <c r="N327" s="24">
        <v>45012</v>
      </c>
      <c r="O327" s="25">
        <v>38.803528</v>
      </c>
      <c r="P327" s="28">
        <f t="shared" si="31"/>
        <v>1.0151148085992157E-2</v>
      </c>
      <c r="R327" s="24">
        <v>45012</v>
      </c>
      <c r="S327" s="233">
        <v>821.669983</v>
      </c>
      <c r="T327" s="28">
        <f t="shared" si="32"/>
        <v>2.036564634146254E-3</v>
      </c>
      <c r="V327" s="24">
        <v>45012</v>
      </c>
      <c r="W327" s="25">
        <v>150.375259</v>
      </c>
      <c r="X327" s="28">
        <f t="shared" si="33"/>
        <v>1.5394543184927389E-2</v>
      </c>
      <c r="Z327" s="24">
        <v>45012</v>
      </c>
      <c r="AA327" s="27">
        <v>4109.3100000000004</v>
      </c>
      <c r="AB327" s="28">
        <f t="shared" si="34"/>
        <v>3.4832623602678581E-2</v>
      </c>
    </row>
    <row r="328" spans="2:28" x14ac:dyDescent="0.35">
      <c r="B328" s="24">
        <v>45019</v>
      </c>
      <c r="C328" s="25">
        <v>245.077393</v>
      </c>
      <c r="D328" s="28">
        <f t="shared" si="28"/>
        <v>4.7859476906559228E-2</v>
      </c>
      <c r="F328" s="24">
        <v>45019</v>
      </c>
      <c r="G328" s="25">
        <v>155.269699</v>
      </c>
      <c r="H328" s="28">
        <f t="shared" si="29"/>
        <v>1.3679020028037003E-2</v>
      </c>
      <c r="J328" s="24">
        <v>45019</v>
      </c>
      <c r="K328" s="233">
        <v>67.273514000000006</v>
      </c>
      <c r="L328" s="28">
        <f t="shared" si="30"/>
        <v>2.0631812886801049E-2</v>
      </c>
      <c r="N328" s="24">
        <v>45019</v>
      </c>
      <c r="O328" s="25">
        <v>39.469279999999998</v>
      </c>
      <c r="P328" s="28">
        <f t="shared" si="31"/>
        <v>1.715699665246917E-2</v>
      </c>
      <c r="R328" s="24">
        <v>45019</v>
      </c>
      <c r="S328" s="233">
        <v>828.72997999999995</v>
      </c>
      <c r="T328" s="28">
        <f t="shared" si="32"/>
        <v>8.5922537588913883E-3</v>
      </c>
      <c r="V328" s="24">
        <v>45019</v>
      </c>
      <c r="W328" s="25">
        <v>160.22242700000001</v>
      </c>
      <c r="X328" s="28">
        <f t="shared" si="33"/>
        <v>6.5483963688468316E-2</v>
      </c>
      <c r="Z328" s="24">
        <v>45019</v>
      </c>
      <c r="AA328" s="27">
        <v>4105.0200000000004</v>
      </c>
      <c r="AB328" s="28">
        <f t="shared" si="34"/>
        <v>-1.0439708856231356E-3</v>
      </c>
    </row>
    <row r="329" spans="2:28" x14ac:dyDescent="0.35">
      <c r="B329" s="24">
        <v>45026</v>
      </c>
      <c r="C329" s="25">
        <v>241.86540199999999</v>
      </c>
      <c r="D329" s="28">
        <f t="shared" si="28"/>
        <v>-1.3106027286653887E-2</v>
      </c>
      <c r="F329" s="24">
        <v>45026</v>
      </c>
      <c r="G329" s="25">
        <v>155.308121</v>
      </c>
      <c r="H329" s="28">
        <f t="shared" si="29"/>
        <v>2.4745330381548136E-4</v>
      </c>
      <c r="J329" s="24">
        <v>45026</v>
      </c>
      <c r="K329" s="233">
        <v>67.549187000000003</v>
      </c>
      <c r="L329" s="28">
        <f t="shared" si="30"/>
        <v>4.0977939698525478E-3</v>
      </c>
      <c r="N329" s="24">
        <v>45026</v>
      </c>
      <c r="O329" s="25">
        <v>39.174446000000003</v>
      </c>
      <c r="P329" s="28">
        <f t="shared" si="31"/>
        <v>-7.469961448498541E-3</v>
      </c>
      <c r="R329" s="24">
        <v>45026</v>
      </c>
      <c r="S329" s="233">
        <v>829.330017</v>
      </c>
      <c r="T329" s="28">
        <f t="shared" si="32"/>
        <v>7.2404403663539618E-4</v>
      </c>
      <c r="V329" s="24">
        <v>45026</v>
      </c>
      <c r="W329" s="25">
        <v>160.89184599999999</v>
      </c>
      <c r="X329" s="28">
        <f t="shared" si="33"/>
        <v>4.1780605408003879E-3</v>
      </c>
      <c r="Z329" s="24">
        <v>45026</v>
      </c>
      <c r="AA329" s="27">
        <v>4137.6400000000003</v>
      </c>
      <c r="AB329" s="28">
        <f t="shared" si="34"/>
        <v>7.9463681053928426E-3</v>
      </c>
    </row>
    <row r="330" spans="2:28" x14ac:dyDescent="0.35">
      <c r="B330" s="24">
        <v>45033</v>
      </c>
      <c r="C330" s="25">
        <v>235.92517100000001</v>
      </c>
      <c r="D330" s="28">
        <f t="shared" si="28"/>
        <v>-2.4560069157803621E-2</v>
      </c>
      <c r="F330" s="24">
        <v>45033</v>
      </c>
      <c r="G330" s="25">
        <v>157.532242</v>
      </c>
      <c r="H330" s="28">
        <f t="shared" si="29"/>
        <v>1.4320699945883586E-2</v>
      </c>
      <c r="J330" s="24">
        <v>45033</v>
      </c>
      <c r="K330" s="233">
        <v>67.587547000000001</v>
      </c>
      <c r="L330" s="28">
        <f t="shared" si="30"/>
        <v>5.6788248243466732E-4</v>
      </c>
      <c r="N330" s="24">
        <v>45033</v>
      </c>
      <c r="O330" s="25">
        <v>38.242396999999997</v>
      </c>
      <c r="P330" s="28">
        <f t="shared" si="31"/>
        <v>-2.3792270093621948E-2</v>
      </c>
      <c r="R330" s="24">
        <v>45033</v>
      </c>
      <c r="S330" s="233">
        <v>800.72997999999995</v>
      </c>
      <c r="T330" s="28">
        <f t="shared" si="32"/>
        <v>-3.4485713062041512E-2</v>
      </c>
      <c r="V330" s="24">
        <v>45033</v>
      </c>
      <c r="W330" s="25">
        <v>157.835846</v>
      </c>
      <c r="X330" s="28">
        <f t="shared" si="33"/>
        <v>-1.8994126029233227E-2</v>
      </c>
      <c r="Z330" s="24">
        <v>45033</v>
      </c>
      <c r="AA330" s="27">
        <v>4133.5200000000004</v>
      </c>
      <c r="AB330" s="28">
        <f t="shared" si="34"/>
        <v>-9.9573670014785343E-4</v>
      </c>
    </row>
    <row r="331" spans="2:28" x14ac:dyDescent="0.35">
      <c r="B331" s="24">
        <v>45040</v>
      </c>
      <c r="C331" s="25">
        <v>231.939255</v>
      </c>
      <c r="D331" s="28">
        <f t="shared" si="28"/>
        <v>-1.689483145484294E-2</v>
      </c>
      <c r="F331" s="24">
        <v>45040</v>
      </c>
      <c r="G331" s="25">
        <v>146.58132900000001</v>
      </c>
      <c r="H331" s="28">
        <f t="shared" si="29"/>
        <v>-6.9515375779391153E-2</v>
      </c>
      <c r="J331" s="24">
        <v>45040</v>
      </c>
      <c r="K331" s="233">
        <v>64.020720999999995</v>
      </c>
      <c r="L331" s="28">
        <f t="shared" si="30"/>
        <v>-5.27734199319293E-2</v>
      </c>
      <c r="N331" s="24">
        <v>45040</v>
      </c>
      <c r="O331" s="25">
        <v>36.986987999999997</v>
      </c>
      <c r="P331" s="28">
        <f t="shared" si="31"/>
        <v>-3.2827675524627842E-2</v>
      </c>
      <c r="R331" s="24">
        <v>45040</v>
      </c>
      <c r="S331" s="233">
        <v>801.78997800000002</v>
      </c>
      <c r="T331" s="28">
        <f t="shared" si="32"/>
        <v>1.3237895751074813E-3</v>
      </c>
      <c r="V331" s="24">
        <v>45040</v>
      </c>
      <c r="W331" s="25">
        <v>158.81568899999999</v>
      </c>
      <c r="X331" s="28">
        <f t="shared" si="33"/>
        <v>6.2079877596372679E-3</v>
      </c>
      <c r="Z331" s="24">
        <v>45040</v>
      </c>
      <c r="AA331" s="27">
        <v>4169.4799999999996</v>
      </c>
      <c r="AB331" s="28">
        <f t="shared" si="34"/>
        <v>8.6996071145171161E-3</v>
      </c>
    </row>
    <row r="332" spans="2:28" x14ac:dyDescent="0.35">
      <c r="B332" s="24">
        <v>45047</v>
      </c>
      <c r="C332" s="25">
        <v>228.83367899999999</v>
      </c>
      <c r="D332" s="28">
        <f t="shared" si="28"/>
        <v>-1.3389609275066494E-2</v>
      </c>
      <c r="F332" s="24">
        <v>45047</v>
      </c>
      <c r="G332" s="25">
        <v>143.58412200000001</v>
      </c>
      <c r="H332" s="28">
        <f t="shared" si="29"/>
        <v>-2.0447399545681533E-2</v>
      </c>
      <c r="J332" s="24">
        <v>45047</v>
      </c>
      <c r="K332" s="233">
        <v>65.334311999999997</v>
      </c>
      <c r="L332" s="28">
        <f t="shared" si="30"/>
        <v>2.0518216281881552E-2</v>
      </c>
      <c r="N332" s="24">
        <v>45047</v>
      </c>
      <c r="O332" s="25">
        <v>36.606563999999999</v>
      </c>
      <c r="P332" s="28">
        <f t="shared" si="31"/>
        <v>-1.0285346836027776E-2</v>
      </c>
      <c r="R332" s="24">
        <v>45047</v>
      </c>
      <c r="S332" s="233">
        <v>762.09997599999997</v>
      </c>
      <c r="T332" s="28">
        <f t="shared" si="32"/>
        <v>-4.950174370974747E-2</v>
      </c>
      <c r="V332" s="24">
        <v>45047</v>
      </c>
      <c r="W332" s="25">
        <v>157.826111</v>
      </c>
      <c r="X332" s="28">
        <f t="shared" si="33"/>
        <v>-6.2309838922777194E-3</v>
      </c>
      <c r="Z332" s="24">
        <v>45047</v>
      </c>
      <c r="AA332" s="27">
        <v>4136.25</v>
      </c>
      <c r="AB332" s="28">
        <f t="shared" si="34"/>
        <v>-7.9698187783607821E-3</v>
      </c>
    </row>
    <row r="333" spans="2:28" x14ac:dyDescent="0.35">
      <c r="B333" s="24">
        <v>45054</v>
      </c>
      <c r="C333" s="25">
        <v>225.37017800000001</v>
      </c>
      <c r="D333" s="28">
        <f t="shared" si="28"/>
        <v>-1.5135451281189982E-2</v>
      </c>
      <c r="F333" s="24">
        <v>45054</v>
      </c>
      <c r="G333" s="25">
        <v>142.73056</v>
      </c>
      <c r="H333" s="28">
        <f t="shared" si="29"/>
        <v>-5.9446823792954628E-3</v>
      </c>
      <c r="J333" s="24">
        <v>45054</v>
      </c>
      <c r="K333" s="233">
        <v>65.257598999999999</v>
      </c>
      <c r="L333" s="28">
        <f t="shared" si="30"/>
        <v>-1.1741609829762911E-3</v>
      </c>
      <c r="N333" s="24">
        <v>45054</v>
      </c>
      <c r="O333" s="25">
        <v>35.522345999999999</v>
      </c>
      <c r="P333" s="28">
        <f t="shared" si="31"/>
        <v>-2.9618130781135288E-2</v>
      </c>
      <c r="R333" s="24">
        <v>45054</v>
      </c>
      <c r="S333" s="233">
        <v>744.34997599999997</v>
      </c>
      <c r="T333" s="28">
        <f t="shared" si="32"/>
        <v>-2.3290907438632491E-2</v>
      </c>
      <c r="V333" s="24">
        <v>45054</v>
      </c>
      <c r="W333" s="25">
        <v>155.98281900000001</v>
      </c>
      <c r="X333" s="28">
        <f t="shared" si="33"/>
        <v>-1.1679258826823635E-2</v>
      </c>
      <c r="Z333" s="24">
        <v>45054</v>
      </c>
      <c r="AA333" s="27">
        <v>4124.08</v>
      </c>
      <c r="AB333" s="28">
        <f t="shared" si="34"/>
        <v>-2.9422786340284057E-3</v>
      </c>
    </row>
    <row r="334" spans="2:28" x14ac:dyDescent="0.35">
      <c r="B334" s="24">
        <v>45061</v>
      </c>
      <c r="C334" s="25">
        <v>216.15026900000001</v>
      </c>
      <c r="D334" s="28">
        <f t="shared" si="28"/>
        <v>-4.0910066637121822E-2</v>
      </c>
      <c r="F334" s="24">
        <v>45061</v>
      </c>
      <c r="G334" s="25">
        <v>140.75183100000001</v>
      </c>
      <c r="H334" s="28">
        <f t="shared" si="29"/>
        <v>-1.3863387070014888E-2</v>
      </c>
      <c r="J334" s="24">
        <v>45061</v>
      </c>
      <c r="K334" s="233">
        <v>63.129004999999999</v>
      </c>
      <c r="L334" s="28">
        <f t="shared" si="30"/>
        <v>-3.2618331544805979E-2</v>
      </c>
      <c r="N334" s="24">
        <v>45061</v>
      </c>
      <c r="O334" s="25">
        <v>35.349139999999998</v>
      </c>
      <c r="P334" s="28">
        <f t="shared" si="31"/>
        <v>-4.8759730002067014E-3</v>
      </c>
      <c r="R334" s="24">
        <v>45061</v>
      </c>
      <c r="S334" s="233">
        <v>759.04998799999998</v>
      </c>
      <c r="T334" s="28">
        <f t="shared" si="32"/>
        <v>1.9748790856412901E-2</v>
      </c>
      <c r="V334" s="24">
        <v>45061</v>
      </c>
      <c r="W334" s="25">
        <v>154.16862499999999</v>
      </c>
      <c r="X334" s="28">
        <f t="shared" si="33"/>
        <v>-1.1630729663887007E-2</v>
      </c>
      <c r="Z334" s="24">
        <v>45061</v>
      </c>
      <c r="AA334" s="27">
        <v>4191.9799999999996</v>
      </c>
      <c r="AB334" s="28">
        <f t="shared" si="34"/>
        <v>1.6464278093538454E-2</v>
      </c>
    </row>
    <row r="335" spans="2:28" x14ac:dyDescent="0.35">
      <c r="B335" s="24">
        <v>45068</v>
      </c>
      <c r="C335" s="25">
        <v>211.851608</v>
      </c>
      <c r="D335" s="28">
        <f t="shared" si="28"/>
        <v>-1.9887372890569965E-2</v>
      </c>
      <c r="F335" s="24">
        <v>45068</v>
      </c>
      <c r="G335" s="25">
        <v>133.428574</v>
      </c>
      <c r="H335" s="28">
        <f t="shared" si="29"/>
        <v>-5.2029568268991189E-2</v>
      </c>
      <c r="J335" s="24">
        <v>45068</v>
      </c>
      <c r="K335" s="233">
        <v>61.192191999999999</v>
      </c>
      <c r="L335" s="28">
        <f t="shared" si="30"/>
        <v>-3.0680239614104488E-2</v>
      </c>
      <c r="N335" s="24">
        <v>45068</v>
      </c>
      <c r="O335" s="25">
        <v>36.147067999999997</v>
      </c>
      <c r="P335" s="28">
        <f t="shared" si="31"/>
        <v>2.2572769804300785E-2</v>
      </c>
      <c r="R335" s="24">
        <v>45068</v>
      </c>
      <c r="S335" s="233">
        <v>725.04998799999998</v>
      </c>
      <c r="T335" s="28">
        <f t="shared" si="32"/>
        <v>-4.4792833854837011E-2</v>
      </c>
      <c r="V335" s="24">
        <v>45068</v>
      </c>
      <c r="W335" s="25">
        <v>149.744675</v>
      </c>
      <c r="X335" s="28">
        <f t="shared" si="33"/>
        <v>-2.8695527381138564E-2</v>
      </c>
      <c r="Z335" s="24">
        <v>45068</v>
      </c>
      <c r="AA335" s="27">
        <v>4205.45</v>
      </c>
      <c r="AB335" s="28">
        <f t="shared" si="34"/>
        <v>3.2132786893068754E-3</v>
      </c>
    </row>
    <row r="336" spans="2:28" x14ac:dyDescent="0.35">
      <c r="B336" s="24">
        <v>45075</v>
      </c>
      <c r="C336" s="25">
        <v>212.964935</v>
      </c>
      <c r="D336" s="28">
        <f t="shared" si="28"/>
        <v>5.2552209091563107E-3</v>
      </c>
      <c r="F336" s="24">
        <v>45075</v>
      </c>
      <c r="G336" s="25">
        <v>132.75929300000001</v>
      </c>
      <c r="H336" s="28">
        <f t="shared" si="29"/>
        <v>-5.0160245285989502E-3</v>
      </c>
      <c r="J336" s="24">
        <v>45075</v>
      </c>
      <c r="K336" s="233">
        <v>62.956435999999997</v>
      </c>
      <c r="L336" s="28">
        <f t="shared" si="30"/>
        <v>2.8831194672679805E-2</v>
      </c>
      <c r="N336" s="24">
        <v>45075</v>
      </c>
      <c r="O336" s="25">
        <v>36.877701000000002</v>
      </c>
      <c r="P336" s="28">
        <f t="shared" si="31"/>
        <v>2.0212787382921427E-2</v>
      </c>
      <c r="R336" s="24">
        <v>45075</v>
      </c>
      <c r="S336" s="233">
        <v>739.95001200000002</v>
      </c>
      <c r="T336" s="28">
        <f t="shared" si="32"/>
        <v>2.0550340316673577E-2</v>
      </c>
      <c r="V336" s="24">
        <v>45075</v>
      </c>
      <c r="W336" s="25">
        <v>153.43550099999999</v>
      </c>
      <c r="X336" s="28">
        <f t="shared" si="33"/>
        <v>2.4647460752778017E-2</v>
      </c>
      <c r="Z336" s="24">
        <v>45075</v>
      </c>
      <c r="AA336" s="27">
        <v>4282.37</v>
      </c>
      <c r="AB336" s="28">
        <f t="shared" si="34"/>
        <v>1.8290551546207956E-2</v>
      </c>
    </row>
    <row r="337" spans="2:28" x14ac:dyDescent="0.35">
      <c r="B337" s="24">
        <v>45082</v>
      </c>
      <c r="C337" s="25">
        <v>213.638779</v>
      </c>
      <c r="D337" s="28">
        <f t="shared" si="28"/>
        <v>3.1641077438404608E-3</v>
      </c>
      <c r="F337" s="24">
        <v>45082</v>
      </c>
      <c r="G337" s="25">
        <v>134.02995300000001</v>
      </c>
      <c r="H337" s="28">
        <f t="shared" si="29"/>
        <v>9.5711567249758822E-3</v>
      </c>
      <c r="J337" s="24">
        <v>45082</v>
      </c>
      <c r="K337" s="233">
        <v>62.131836</v>
      </c>
      <c r="L337" s="28">
        <f t="shared" si="30"/>
        <v>-1.309794601460601E-2</v>
      </c>
      <c r="N337" s="24">
        <v>45082</v>
      </c>
      <c r="O337" s="25">
        <v>37.464126999999998</v>
      </c>
      <c r="P337" s="28">
        <f t="shared" si="31"/>
        <v>1.5901913191388894E-2</v>
      </c>
      <c r="R337" s="24">
        <v>45082</v>
      </c>
      <c r="S337" s="233">
        <v>746.52002000000005</v>
      </c>
      <c r="T337" s="28">
        <f t="shared" si="32"/>
        <v>8.8789889768932095E-3</v>
      </c>
      <c r="V337" s="24">
        <v>45082</v>
      </c>
      <c r="W337" s="25">
        <v>156.40704299999999</v>
      </c>
      <c r="X337" s="28">
        <f t="shared" si="33"/>
        <v>1.9366717484762486E-2</v>
      </c>
      <c r="Z337" s="24">
        <v>45082</v>
      </c>
      <c r="AA337" s="27">
        <v>4298.8599999999997</v>
      </c>
      <c r="AB337" s="28">
        <f t="shared" si="34"/>
        <v>3.8506714739734438E-3</v>
      </c>
    </row>
    <row r="338" spans="2:28" x14ac:dyDescent="0.35">
      <c r="B338" s="24">
        <v>45089</v>
      </c>
      <c r="C338" s="25">
        <v>224.28362999999999</v>
      </c>
      <c r="D338" s="28">
        <f t="shared" ref="D338:D382" si="35">(C338/C337)-1</f>
        <v>4.9826398792514937E-2</v>
      </c>
      <c r="F338" s="24">
        <v>45089</v>
      </c>
      <c r="G338" s="25">
        <v>134.476135</v>
      </c>
      <c r="H338" s="28">
        <f t="shared" ref="H338:H382" si="36">(G338/G337)-1</f>
        <v>3.3289722932305921E-3</v>
      </c>
      <c r="J338" s="24">
        <v>45089</v>
      </c>
      <c r="K338" s="233">
        <v>63.435841000000003</v>
      </c>
      <c r="L338" s="28">
        <f t="shared" ref="L338:L382" si="37">(K338/K337)-1</f>
        <v>2.0987710712427665E-2</v>
      </c>
      <c r="N338" s="24">
        <v>45089</v>
      </c>
      <c r="O338" s="25">
        <v>38.512005000000002</v>
      </c>
      <c r="P338" s="28">
        <f t="shared" ref="P338:P382" si="38">(O338/O337)-1</f>
        <v>2.7970169970863212E-2</v>
      </c>
      <c r="R338" s="24">
        <v>45089</v>
      </c>
      <c r="S338" s="233">
        <v>783.04998799999998</v>
      </c>
      <c r="T338" s="28">
        <f t="shared" ref="T338:T382" si="39">(S338/S337)-1</f>
        <v>4.893367494685541E-2</v>
      </c>
      <c r="V338" s="24">
        <v>45089</v>
      </c>
      <c r="W338" s="25">
        <v>160.53201300000001</v>
      </c>
      <c r="X338" s="28">
        <f t="shared" ref="X338:X382" si="40">(W338/W337)-1</f>
        <v>2.6373300849374282E-2</v>
      </c>
      <c r="Z338" s="24">
        <v>45089</v>
      </c>
      <c r="AA338" s="27">
        <v>4409.59</v>
      </c>
      <c r="AB338" s="28">
        <f t="shared" ref="AB338:AB382" si="41">(AA338/AA337)-1</f>
        <v>2.5757991653601264E-2</v>
      </c>
    </row>
    <row r="339" spans="2:28" x14ac:dyDescent="0.35">
      <c r="B339" s="24">
        <v>45096</v>
      </c>
      <c r="C339" s="25">
        <v>221.79330400000001</v>
      </c>
      <c r="D339" s="28">
        <f t="shared" si="35"/>
        <v>-1.1103467515663046E-2</v>
      </c>
      <c r="F339" s="24">
        <v>45096</v>
      </c>
      <c r="G339" s="25">
        <v>131.83783</v>
      </c>
      <c r="H339" s="28">
        <f t="shared" si="36"/>
        <v>-1.961913167715601E-2</v>
      </c>
      <c r="J339" s="24">
        <v>45096</v>
      </c>
      <c r="K339" s="233">
        <v>62.361953999999997</v>
      </c>
      <c r="L339" s="28">
        <f t="shared" si="37"/>
        <v>-1.6928710695267801E-2</v>
      </c>
      <c r="N339" s="24">
        <v>45096</v>
      </c>
      <c r="O339" s="25">
        <v>36.820019000000002</v>
      </c>
      <c r="P339" s="28">
        <f t="shared" si="38"/>
        <v>-4.3933988895150988E-2</v>
      </c>
      <c r="R339" s="24">
        <v>45096</v>
      </c>
      <c r="S339" s="233">
        <v>779.72997999999995</v>
      </c>
      <c r="T339" s="28">
        <f t="shared" si="39"/>
        <v>-4.2398417098246099E-3</v>
      </c>
      <c r="V339" s="24">
        <v>45096</v>
      </c>
      <c r="W339" s="25">
        <v>161.75387599999999</v>
      </c>
      <c r="X339" s="28">
        <f t="shared" si="40"/>
        <v>7.6113354412368217E-3</v>
      </c>
      <c r="Z339" s="24">
        <v>45096</v>
      </c>
      <c r="AA339" s="27">
        <v>4348.33</v>
      </c>
      <c r="AB339" s="28">
        <f t="shared" si="41"/>
        <v>-1.389244805072587E-2</v>
      </c>
    </row>
    <row r="340" spans="2:28" x14ac:dyDescent="0.35">
      <c r="B340" s="24">
        <v>45103</v>
      </c>
      <c r="C340" s="25">
        <v>216.822464</v>
      </c>
      <c r="D340" s="28">
        <f t="shared" si="35"/>
        <v>-2.2412038192099804E-2</v>
      </c>
      <c r="F340" s="24">
        <v>45103</v>
      </c>
      <c r="G340" s="25">
        <v>130.68356299999999</v>
      </c>
      <c r="H340" s="28">
        <f t="shared" si="36"/>
        <v>-8.7552032675295433E-3</v>
      </c>
      <c r="J340" s="24">
        <v>45103</v>
      </c>
      <c r="K340" s="233">
        <v>61.316837</v>
      </c>
      <c r="L340" s="28">
        <f t="shared" si="37"/>
        <v>-1.6758887959155366E-2</v>
      </c>
      <c r="N340" s="24">
        <v>45103</v>
      </c>
      <c r="O340" s="25">
        <v>35.262619000000001</v>
      </c>
      <c r="P340" s="28">
        <f t="shared" si="38"/>
        <v>-4.2297642486278986E-2</v>
      </c>
      <c r="R340" s="24">
        <v>45103</v>
      </c>
      <c r="S340" s="233">
        <v>718.53997800000002</v>
      </c>
      <c r="T340" s="28">
        <f t="shared" si="39"/>
        <v>-7.8475887255226362E-2</v>
      </c>
      <c r="V340" s="24">
        <v>45103</v>
      </c>
      <c r="W340" s="25">
        <v>161.792969</v>
      </c>
      <c r="X340" s="28">
        <f t="shared" si="40"/>
        <v>2.4168199839613713E-4</v>
      </c>
      <c r="Z340" s="24">
        <v>45103</v>
      </c>
      <c r="AA340" s="27">
        <v>4450.38</v>
      </c>
      <c r="AB340" s="28">
        <f t="shared" si="41"/>
        <v>2.3468779968401687E-2</v>
      </c>
    </row>
    <row r="341" spans="2:28" x14ac:dyDescent="0.35">
      <c r="B341" s="24">
        <v>45110</v>
      </c>
      <c r="C341" s="25">
        <v>213.53135700000001</v>
      </c>
      <c r="D341" s="28">
        <f t="shared" si="35"/>
        <v>-1.5178810070159421E-2</v>
      </c>
      <c r="F341" s="24">
        <v>45110</v>
      </c>
      <c r="G341" s="25">
        <v>131.43045000000001</v>
      </c>
      <c r="H341" s="28">
        <f t="shared" si="36"/>
        <v>5.7152329095895293E-3</v>
      </c>
      <c r="J341" s="24">
        <v>45110</v>
      </c>
      <c r="K341" s="233">
        <v>60.070362000000003</v>
      </c>
      <c r="L341" s="28">
        <f t="shared" si="37"/>
        <v>-2.0328429530701242E-2</v>
      </c>
      <c r="N341" s="24">
        <v>45110</v>
      </c>
      <c r="O341" s="25">
        <v>34.157055</v>
      </c>
      <c r="P341" s="28">
        <f t="shared" si="38"/>
        <v>-3.1352294053938579E-2</v>
      </c>
      <c r="R341" s="24">
        <v>45110</v>
      </c>
      <c r="S341" s="233">
        <v>692.45001200000002</v>
      </c>
      <c r="T341" s="28">
        <f t="shared" si="39"/>
        <v>-3.6309692986908559E-2</v>
      </c>
      <c r="V341" s="24">
        <v>45110</v>
      </c>
      <c r="W341" s="25">
        <v>155.664154</v>
      </c>
      <c r="X341" s="28">
        <f t="shared" si="40"/>
        <v>-3.7880601597712227E-2</v>
      </c>
      <c r="Z341" s="24">
        <v>45110</v>
      </c>
      <c r="AA341" s="27">
        <v>4398.95</v>
      </c>
      <c r="AB341" s="28">
        <f t="shared" si="41"/>
        <v>-1.1556316539261924E-2</v>
      </c>
    </row>
    <row r="342" spans="2:28" x14ac:dyDescent="0.35">
      <c r="B342" s="24">
        <v>45117</v>
      </c>
      <c r="C342" s="25">
        <v>222.10580400000001</v>
      </c>
      <c r="D342" s="28">
        <f t="shared" si="35"/>
        <v>4.0155446583894472E-2</v>
      </c>
      <c r="F342" s="24">
        <v>45117</v>
      </c>
      <c r="G342" s="25">
        <v>131.92514</v>
      </c>
      <c r="H342" s="28">
        <f t="shared" si="36"/>
        <v>3.7638918530675802E-3</v>
      </c>
      <c r="J342" s="24">
        <v>45117</v>
      </c>
      <c r="K342" s="233">
        <v>59.917212999999997</v>
      </c>
      <c r="L342" s="28">
        <f t="shared" si="37"/>
        <v>-2.5494935422564202E-3</v>
      </c>
      <c r="N342" s="24">
        <v>45117</v>
      </c>
      <c r="O342" s="25">
        <v>34.916530999999999</v>
      </c>
      <c r="P342" s="28">
        <f t="shared" si="38"/>
        <v>2.2234820888393347E-2</v>
      </c>
      <c r="R342" s="24">
        <v>45117</v>
      </c>
      <c r="S342" s="233">
        <v>718.52002000000005</v>
      </c>
      <c r="T342" s="28">
        <f t="shared" si="39"/>
        <v>3.7648938621146266E-2</v>
      </c>
      <c r="V342" s="24">
        <v>45117</v>
      </c>
      <c r="W342" s="25">
        <v>156.27018699999999</v>
      </c>
      <c r="X342" s="28">
        <f t="shared" si="40"/>
        <v>3.893208451831498E-3</v>
      </c>
      <c r="Z342" s="24">
        <v>45117</v>
      </c>
      <c r="AA342" s="27">
        <v>4505.42</v>
      </c>
      <c r="AB342" s="28">
        <f t="shared" si="41"/>
        <v>2.4203503108696456E-2</v>
      </c>
    </row>
    <row r="343" spans="2:28" x14ac:dyDescent="0.35">
      <c r="B343" s="24">
        <v>45124</v>
      </c>
      <c r="C343" s="25">
        <v>229.32283000000001</v>
      </c>
      <c r="D343" s="28">
        <f t="shared" si="35"/>
        <v>3.2493639833023114E-2</v>
      </c>
      <c r="F343" s="24">
        <v>45124</v>
      </c>
      <c r="G343" s="25">
        <v>140.96864299999999</v>
      </c>
      <c r="H343" s="28">
        <f t="shared" si="36"/>
        <v>6.855026267169384E-2</v>
      </c>
      <c r="J343" s="24">
        <v>45124</v>
      </c>
      <c r="K343" s="233">
        <v>62.567737999999999</v>
      </c>
      <c r="L343" s="28">
        <f t="shared" si="37"/>
        <v>4.423645338777682E-2</v>
      </c>
      <c r="N343" s="24">
        <v>45124</v>
      </c>
      <c r="O343" s="25">
        <v>35.954799999999999</v>
      </c>
      <c r="P343" s="28">
        <f t="shared" si="38"/>
        <v>2.9735743221455779E-2</v>
      </c>
      <c r="R343" s="24">
        <v>45124</v>
      </c>
      <c r="S343" s="233">
        <v>734.63000499999998</v>
      </c>
      <c r="T343" s="28">
        <f t="shared" si="39"/>
        <v>2.2421066291235636E-2</v>
      </c>
      <c r="V343" s="24">
        <v>45124</v>
      </c>
      <c r="W343" s="25">
        <v>166.35781900000001</v>
      </c>
      <c r="X343" s="28">
        <f t="shared" si="40"/>
        <v>6.4552504822944945E-2</v>
      </c>
      <c r="Z343" s="24">
        <v>45124</v>
      </c>
      <c r="AA343" s="27">
        <v>4536.34</v>
      </c>
      <c r="AB343" s="28">
        <f t="shared" si="41"/>
        <v>6.8628451953425262E-3</v>
      </c>
    </row>
    <row r="344" spans="2:28" x14ac:dyDescent="0.35">
      <c r="B344" s="24">
        <v>45131</v>
      </c>
      <c r="C344" s="25">
        <v>230.83651699999999</v>
      </c>
      <c r="D344" s="28">
        <f t="shared" si="35"/>
        <v>6.6006816678478852E-3</v>
      </c>
      <c r="F344" s="24">
        <v>45131</v>
      </c>
      <c r="G344" s="25">
        <v>147.94155900000001</v>
      </c>
      <c r="H344" s="28">
        <f t="shared" si="36"/>
        <v>4.9464305334910641E-2</v>
      </c>
      <c r="J344" s="24">
        <v>45131</v>
      </c>
      <c r="K344" s="233">
        <v>59.404525999999997</v>
      </c>
      <c r="L344" s="28">
        <f t="shared" si="37"/>
        <v>-5.0556598354250859E-2</v>
      </c>
      <c r="N344" s="24">
        <v>45131</v>
      </c>
      <c r="O344" s="25">
        <v>34.676189000000001</v>
      </c>
      <c r="P344" s="28">
        <f t="shared" si="38"/>
        <v>-3.5561621814055422E-2</v>
      </c>
      <c r="R344" s="24">
        <v>45131</v>
      </c>
      <c r="S344" s="233">
        <v>746.09997599999997</v>
      </c>
      <c r="T344" s="28">
        <f t="shared" si="39"/>
        <v>1.5613262352386581E-2</v>
      </c>
      <c r="V344" s="24">
        <v>45131</v>
      </c>
      <c r="W344" s="25">
        <v>170.55122399999999</v>
      </c>
      <c r="X344" s="28">
        <f t="shared" si="40"/>
        <v>2.5207141000087141E-2</v>
      </c>
      <c r="Z344" s="24">
        <v>45131</v>
      </c>
      <c r="AA344" s="27">
        <v>4582.2299999999996</v>
      </c>
      <c r="AB344" s="28">
        <f t="shared" si="41"/>
        <v>1.0116084773187151E-2</v>
      </c>
    </row>
    <row r="345" spans="2:28" x14ac:dyDescent="0.35">
      <c r="B345" s="24">
        <v>45138</v>
      </c>
      <c r="C345" s="25">
        <v>237.58476300000001</v>
      </c>
      <c r="D345" s="28">
        <f t="shared" si="35"/>
        <v>2.9233875505061624E-2</v>
      </c>
      <c r="F345" s="24">
        <v>45138</v>
      </c>
      <c r="G345" s="25">
        <v>144.881699</v>
      </c>
      <c r="H345" s="28">
        <f t="shared" si="36"/>
        <v>-2.0682896818736474E-2</v>
      </c>
      <c r="J345" s="24">
        <v>45138</v>
      </c>
      <c r="K345" s="233">
        <v>58.514572000000001</v>
      </c>
      <c r="L345" s="28">
        <f t="shared" si="37"/>
        <v>-1.4981249071829961E-2</v>
      </c>
      <c r="N345" s="24">
        <v>45138</v>
      </c>
      <c r="O345" s="25">
        <v>34.041851000000001</v>
      </c>
      <c r="P345" s="28">
        <f t="shared" si="38"/>
        <v>-1.8293186716683341E-2</v>
      </c>
      <c r="R345" s="24">
        <v>45138</v>
      </c>
      <c r="S345" s="233">
        <v>766.44000200000005</v>
      </c>
      <c r="T345" s="28">
        <f t="shared" si="39"/>
        <v>2.7261796882835032E-2</v>
      </c>
      <c r="V345" s="24">
        <v>45138</v>
      </c>
      <c r="W345" s="25">
        <v>165.23371900000001</v>
      </c>
      <c r="X345" s="28">
        <f t="shared" si="40"/>
        <v>-3.1178345574347732E-2</v>
      </c>
      <c r="Z345" s="24">
        <v>45138</v>
      </c>
      <c r="AA345" s="27">
        <v>4478.03</v>
      </c>
      <c r="AB345" s="28">
        <f t="shared" si="41"/>
        <v>-2.2740019597444872E-2</v>
      </c>
    </row>
    <row r="346" spans="2:28" x14ac:dyDescent="0.35">
      <c r="B346" s="24">
        <v>45145</v>
      </c>
      <c r="C346" s="25">
        <v>256.36456299999998</v>
      </c>
      <c r="D346" s="28">
        <f t="shared" si="35"/>
        <v>7.9044631325957404E-2</v>
      </c>
      <c r="F346" s="24">
        <v>45145</v>
      </c>
      <c r="G346" s="25">
        <v>149.24589499999999</v>
      </c>
      <c r="H346" s="28">
        <f t="shared" si="36"/>
        <v>3.0122479444419037E-2</v>
      </c>
      <c r="J346" s="24">
        <v>45145</v>
      </c>
      <c r="K346" s="233">
        <v>59.230404</v>
      </c>
      <c r="L346" s="28">
        <f t="shared" si="37"/>
        <v>1.2233397178398553E-2</v>
      </c>
      <c r="N346" s="24">
        <v>45145</v>
      </c>
      <c r="O346" s="25">
        <v>35.033363000000001</v>
      </c>
      <c r="P346" s="28">
        <f t="shared" si="38"/>
        <v>2.9126265783843586E-2</v>
      </c>
      <c r="R346" s="24">
        <v>45145</v>
      </c>
      <c r="S346" s="233">
        <v>806.95001200000002</v>
      </c>
      <c r="T346" s="28">
        <f t="shared" si="39"/>
        <v>5.285476996802152E-2</v>
      </c>
      <c r="V346" s="24">
        <v>45145</v>
      </c>
      <c r="W346" s="25">
        <v>169.93540999999999</v>
      </c>
      <c r="X346" s="28">
        <f t="shared" si="40"/>
        <v>2.8454791361320009E-2</v>
      </c>
      <c r="Z346" s="24">
        <v>45145</v>
      </c>
      <c r="AA346" s="27">
        <v>4464.05</v>
      </c>
      <c r="AB346" s="28">
        <f t="shared" si="41"/>
        <v>-3.1219085178079142E-3</v>
      </c>
    </row>
    <row r="347" spans="2:28" x14ac:dyDescent="0.35">
      <c r="B347" s="24">
        <v>45152</v>
      </c>
      <c r="C347" s="25">
        <v>255.690765</v>
      </c>
      <c r="D347" s="28">
        <f t="shared" si="35"/>
        <v>-2.6282805708992552E-3</v>
      </c>
      <c r="F347" s="24">
        <v>45152</v>
      </c>
      <c r="G347" s="25">
        <v>147.245239</v>
      </c>
      <c r="H347" s="28">
        <f t="shared" si="36"/>
        <v>-1.3405099014616062E-2</v>
      </c>
      <c r="J347" s="24">
        <v>45152</v>
      </c>
      <c r="K347" s="233">
        <v>60.033298000000002</v>
      </c>
      <c r="L347" s="28">
        <f t="shared" si="37"/>
        <v>1.3555436832745515E-2</v>
      </c>
      <c r="N347" s="24">
        <v>45152</v>
      </c>
      <c r="O347" s="25">
        <v>35.636043999999998</v>
      </c>
      <c r="P347" s="28">
        <f t="shared" si="38"/>
        <v>1.7203058695792306E-2</v>
      </c>
      <c r="R347" s="24">
        <v>45152</v>
      </c>
      <c r="S347" s="233">
        <v>812.40002400000003</v>
      </c>
      <c r="T347" s="28">
        <f t="shared" si="39"/>
        <v>6.7538409058229831E-3</v>
      </c>
      <c r="V347" s="24">
        <v>45152</v>
      </c>
      <c r="W347" s="25">
        <v>168.606033</v>
      </c>
      <c r="X347" s="28">
        <f t="shared" si="40"/>
        <v>-7.8228369237464124E-3</v>
      </c>
      <c r="Z347" s="24">
        <v>45152</v>
      </c>
      <c r="AA347" s="27">
        <v>4369.71</v>
      </c>
      <c r="AB347" s="28">
        <f t="shared" si="41"/>
        <v>-2.1133275836964227E-2</v>
      </c>
    </row>
    <row r="348" spans="2:28" x14ac:dyDescent="0.35">
      <c r="B348" s="24">
        <v>45159</v>
      </c>
      <c r="C348" s="25">
        <v>252.40673799999999</v>
      </c>
      <c r="D348" s="28">
        <f t="shared" si="35"/>
        <v>-1.284374506056174E-2</v>
      </c>
      <c r="F348" s="24">
        <v>45159</v>
      </c>
      <c r="G348" s="25">
        <v>143.861771</v>
      </c>
      <c r="H348" s="28">
        <f t="shared" si="36"/>
        <v>-2.2978454332231335E-2</v>
      </c>
      <c r="J348" s="24">
        <v>45159</v>
      </c>
      <c r="K348" s="233">
        <v>60.052643000000003</v>
      </c>
      <c r="L348" s="28">
        <f t="shared" si="37"/>
        <v>3.2223783540930029E-4</v>
      </c>
      <c r="N348" s="24">
        <v>45159</v>
      </c>
      <c r="O348" s="25">
        <v>35.363869000000001</v>
      </c>
      <c r="P348" s="28">
        <f t="shared" si="38"/>
        <v>-7.6376322803956009E-3</v>
      </c>
      <c r="R348" s="24">
        <v>45159</v>
      </c>
      <c r="S348" s="233">
        <v>830.34997599999997</v>
      </c>
      <c r="T348" s="28">
        <f t="shared" si="39"/>
        <v>2.2094967343329275E-2</v>
      </c>
      <c r="V348" s="24">
        <v>45159</v>
      </c>
      <c r="W348" s="25">
        <v>162.506531</v>
      </c>
      <c r="X348" s="28">
        <f t="shared" si="40"/>
        <v>-3.6176060200645344E-2</v>
      </c>
      <c r="Z348" s="24">
        <v>45159</v>
      </c>
      <c r="AA348" s="27">
        <v>4405.71</v>
      </c>
      <c r="AB348" s="28">
        <f t="shared" si="41"/>
        <v>8.2385329918919226E-3</v>
      </c>
    </row>
    <row r="349" spans="2:28" x14ac:dyDescent="0.35">
      <c r="B349" s="24">
        <v>45166</v>
      </c>
      <c r="C349" s="25">
        <v>252.73159799999999</v>
      </c>
      <c r="D349" s="28">
        <f t="shared" si="35"/>
        <v>1.2870496349428606E-3</v>
      </c>
      <c r="F349" s="24">
        <v>45166</v>
      </c>
      <c r="G349" s="25">
        <v>145.342636</v>
      </c>
      <c r="H349" s="28">
        <f t="shared" si="36"/>
        <v>1.029366585512137E-2</v>
      </c>
      <c r="J349" s="24">
        <v>45166</v>
      </c>
      <c r="K349" s="233">
        <v>59.994605999999997</v>
      </c>
      <c r="L349" s="28">
        <f t="shared" si="37"/>
        <v>-9.6643539902163678E-4</v>
      </c>
      <c r="N349" s="24">
        <v>45166</v>
      </c>
      <c r="O349" s="25">
        <v>34.780624000000003</v>
      </c>
      <c r="P349" s="28">
        <f t="shared" si="38"/>
        <v>-1.6492680707532292E-2</v>
      </c>
      <c r="R349" s="24">
        <v>45166</v>
      </c>
      <c r="S349" s="233">
        <v>831.63000499999998</v>
      </c>
      <c r="T349" s="28">
        <f t="shared" si="39"/>
        <v>1.5415536063072555E-3</v>
      </c>
      <c r="V349" s="24">
        <v>45166</v>
      </c>
      <c r="W349" s="25">
        <v>158.00538599999999</v>
      </c>
      <c r="X349" s="28">
        <f t="shared" si="40"/>
        <v>-2.7698240632556548E-2</v>
      </c>
      <c r="Z349" s="24">
        <v>45166</v>
      </c>
      <c r="AA349" s="27">
        <v>4515.7700000000004</v>
      </c>
      <c r="AB349" s="28">
        <f t="shared" si="41"/>
        <v>2.4981217556307778E-2</v>
      </c>
    </row>
    <row r="350" spans="2:28" x14ac:dyDescent="0.35">
      <c r="B350" s="24">
        <v>45173</v>
      </c>
      <c r="C350" s="25">
        <v>255.40945400000001</v>
      </c>
      <c r="D350" s="28">
        <f t="shared" si="35"/>
        <v>1.0595651755424873E-2</v>
      </c>
      <c r="F350" s="24">
        <v>45173</v>
      </c>
      <c r="G350" s="25">
        <v>146.14683500000001</v>
      </c>
      <c r="H350" s="28">
        <f t="shared" si="36"/>
        <v>5.5331251870236464E-3</v>
      </c>
      <c r="J350" s="24">
        <v>45173</v>
      </c>
      <c r="K350" s="233">
        <v>58.83379</v>
      </c>
      <c r="L350" s="28">
        <f t="shared" si="37"/>
        <v>-1.9348672779016085E-2</v>
      </c>
      <c r="N350" s="24">
        <v>45173</v>
      </c>
      <c r="O350" s="25">
        <v>33.293362000000002</v>
      </c>
      <c r="P350" s="28">
        <f t="shared" si="38"/>
        <v>-4.2761222455353298E-2</v>
      </c>
      <c r="R350" s="24">
        <v>45173</v>
      </c>
      <c r="S350" s="233">
        <v>830.69000200000005</v>
      </c>
      <c r="T350" s="28">
        <f t="shared" si="39"/>
        <v>-1.1303139549418972E-3</v>
      </c>
      <c r="V350" s="24">
        <v>45173</v>
      </c>
      <c r="W350" s="25">
        <v>158.08415199999999</v>
      </c>
      <c r="X350" s="28">
        <f t="shared" si="40"/>
        <v>4.9850199410284013E-4</v>
      </c>
      <c r="Z350" s="24">
        <v>45173</v>
      </c>
      <c r="AA350" s="27">
        <v>4457.49</v>
      </c>
      <c r="AB350" s="28">
        <f t="shared" si="41"/>
        <v>-1.290588316056851E-2</v>
      </c>
    </row>
    <row r="351" spans="2:28" x14ac:dyDescent="0.35">
      <c r="B351" s="24">
        <v>45180</v>
      </c>
      <c r="C351" s="25">
        <v>256.67947400000003</v>
      </c>
      <c r="D351" s="28">
        <f t="shared" si="35"/>
        <v>4.9724862573019557E-3</v>
      </c>
      <c r="F351" s="24">
        <v>45180</v>
      </c>
      <c r="G351" s="25">
        <v>149.18705700000001</v>
      </c>
      <c r="H351" s="28">
        <f t="shared" si="36"/>
        <v>2.0802516865999765E-2</v>
      </c>
      <c r="J351" s="24">
        <v>45180</v>
      </c>
      <c r="K351" s="233">
        <v>57.102245000000003</v>
      </c>
      <c r="L351" s="28">
        <f t="shared" si="37"/>
        <v>-2.9431131327762428E-2</v>
      </c>
      <c r="N351" s="24">
        <v>45180</v>
      </c>
      <c r="O351" s="25">
        <v>33.118385000000004</v>
      </c>
      <c r="P351" s="28">
        <f t="shared" si="38"/>
        <v>-5.2556122148312845E-3</v>
      </c>
      <c r="R351" s="24">
        <v>45180</v>
      </c>
      <c r="S351" s="233">
        <v>823.40002400000003</v>
      </c>
      <c r="T351" s="28">
        <f t="shared" si="39"/>
        <v>-8.7758104496844513E-3</v>
      </c>
      <c r="V351" s="24">
        <v>45180</v>
      </c>
      <c r="W351" s="25">
        <v>158.960419</v>
      </c>
      <c r="X351" s="28">
        <f t="shared" si="40"/>
        <v>5.5430414049348897E-3</v>
      </c>
      <c r="Z351" s="24">
        <v>45180</v>
      </c>
      <c r="AA351" s="27">
        <v>4450.32</v>
      </c>
      <c r="AB351" s="28">
        <f t="shared" si="41"/>
        <v>-1.6085285665251581E-3</v>
      </c>
    </row>
    <row r="352" spans="2:28" x14ac:dyDescent="0.35">
      <c r="B352" s="24">
        <v>45187</v>
      </c>
      <c r="C352" s="25">
        <v>263.55130000000003</v>
      </c>
      <c r="D352" s="28">
        <f t="shared" si="35"/>
        <v>2.6772012163309933E-2</v>
      </c>
      <c r="F352" s="24">
        <v>45187</v>
      </c>
      <c r="G352" s="25">
        <v>149.79510500000001</v>
      </c>
      <c r="H352" s="28">
        <f t="shared" si="36"/>
        <v>4.0757423078598976E-3</v>
      </c>
      <c r="J352" s="24">
        <v>45187</v>
      </c>
      <c r="K352" s="233">
        <v>56.976497999999999</v>
      </c>
      <c r="L352" s="28">
        <f t="shared" si="37"/>
        <v>-2.2021375867096182E-3</v>
      </c>
      <c r="N352" s="24">
        <v>45187</v>
      </c>
      <c r="O352" s="25">
        <v>31.776931999999999</v>
      </c>
      <c r="P352" s="28">
        <f t="shared" si="38"/>
        <v>-4.0504783068377459E-2</v>
      </c>
      <c r="R352" s="24">
        <v>45187</v>
      </c>
      <c r="S352" s="233">
        <v>824.84002699999996</v>
      </c>
      <c r="T352" s="28">
        <f t="shared" si="39"/>
        <v>1.748849839722455E-3</v>
      </c>
      <c r="V352" s="24">
        <v>45187</v>
      </c>
      <c r="W352" s="25">
        <v>158.02508499999999</v>
      </c>
      <c r="X352" s="28">
        <f t="shared" si="40"/>
        <v>-5.8840685365834089E-3</v>
      </c>
      <c r="Z352" s="24">
        <v>45187</v>
      </c>
      <c r="AA352" s="27">
        <v>4320.0600000000004</v>
      </c>
      <c r="AB352" s="28">
        <f t="shared" si="41"/>
        <v>-2.9269805317370334E-2</v>
      </c>
    </row>
    <row r="353" spans="2:28" x14ac:dyDescent="0.35">
      <c r="B353" s="24">
        <v>45194</v>
      </c>
      <c r="C353" s="25">
        <v>264.59487899999999</v>
      </c>
      <c r="D353" s="28">
        <f t="shared" si="35"/>
        <v>3.9596807149118174E-3</v>
      </c>
      <c r="F353" s="24">
        <v>45194</v>
      </c>
      <c r="G353" s="25">
        <v>146.18604999999999</v>
      </c>
      <c r="H353" s="28">
        <f t="shared" si="36"/>
        <v>-2.40932772803224E-2</v>
      </c>
      <c r="J353" s="24">
        <v>45194</v>
      </c>
      <c r="K353" s="233">
        <v>56.144581000000002</v>
      </c>
      <c r="L353" s="28">
        <f t="shared" si="37"/>
        <v>-1.4601055333376189E-2</v>
      </c>
      <c r="N353" s="24">
        <v>45194</v>
      </c>
      <c r="O353" s="25">
        <v>32.243523000000003</v>
      </c>
      <c r="P353" s="28">
        <f t="shared" si="38"/>
        <v>1.4683324368759187E-2</v>
      </c>
      <c r="R353" s="24">
        <v>45194</v>
      </c>
      <c r="S353" s="233">
        <v>822.96002199999998</v>
      </c>
      <c r="T353" s="28">
        <f t="shared" si="39"/>
        <v>-2.279235898429488E-3</v>
      </c>
      <c r="V353" s="24">
        <v>45194</v>
      </c>
      <c r="W353" s="25">
        <v>153.34832800000001</v>
      </c>
      <c r="X353" s="28">
        <f t="shared" si="40"/>
        <v>-2.9595029168944853E-2</v>
      </c>
      <c r="Z353" s="24">
        <v>45194</v>
      </c>
      <c r="AA353" s="27">
        <v>4288.05</v>
      </c>
      <c r="AB353" s="28">
        <f t="shared" si="41"/>
        <v>-7.4096193108429409E-3</v>
      </c>
    </row>
    <row r="354" spans="2:28" x14ac:dyDescent="0.35">
      <c r="B354" s="24">
        <v>45201</v>
      </c>
      <c r="C354" s="25">
        <v>263.32482900000002</v>
      </c>
      <c r="D354" s="28">
        <f t="shared" si="35"/>
        <v>-4.7999795188778949E-3</v>
      </c>
      <c r="F354" s="24">
        <v>45201</v>
      </c>
      <c r="G354" s="25">
        <v>145.38188199999999</v>
      </c>
      <c r="H354" s="28">
        <f t="shared" si="36"/>
        <v>-5.5009900055443817E-3</v>
      </c>
      <c r="J354" s="24">
        <v>45201</v>
      </c>
      <c r="K354" s="233">
        <v>54.809646999999998</v>
      </c>
      <c r="L354" s="28">
        <f t="shared" si="37"/>
        <v>-2.3776720321414535E-2</v>
      </c>
      <c r="N354" s="24">
        <v>45201</v>
      </c>
      <c r="O354" s="25">
        <v>32.204642999999997</v>
      </c>
      <c r="P354" s="28">
        <f t="shared" si="38"/>
        <v>-1.205823569589648E-3</v>
      </c>
      <c r="R354" s="24">
        <v>45201</v>
      </c>
      <c r="S354" s="233">
        <v>836.57000700000003</v>
      </c>
      <c r="T354" s="28">
        <f t="shared" si="39"/>
        <v>1.6537844653649492E-2</v>
      </c>
      <c r="V354" s="24">
        <v>45201</v>
      </c>
      <c r="W354" s="25">
        <v>155.209183</v>
      </c>
      <c r="X354" s="28">
        <f t="shared" si="40"/>
        <v>1.2134824189279581E-2</v>
      </c>
      <c r="Z354" s="24">
        <v>45201</v>
      </c>
      <c r="AA354" s="27">
        <v>4308.5</v>
      </c>
      <c r="AB354" s="28">
        <f t="shared" si="41"/>
        <v>4.7690675248655001E-3</v>
      </c>
    </row>
    <row r="355" spans="2:28" x14ac:dyDescent="0.35">
      <c r="B355" s="24">
        <v>45208</v>
      </c>
      <c r="C355" s="25">
        <v>279.69714399999998</v>
      </c>
      <c r="D355" s="28">
        <f t="shared" si="35"/>
        <v>6.21753560504541E-2</v>
      </c>
      <c r="F355" s="24">
        <v>45208</v>
      </c>
      <c r="G355" s="25">
        <v>145.10728499999999</v>
      </c>
      <c r="H355" s="28">
        <f t="shared" si="36"/>
        <v>-1.8887979452625325E-3</v>
      </c>
      <c r="J355" s="24">
        <v>45208</v>
      </c>
      <c r="K355" s="233">
        <v>55.180283000000003</v>
      </c>
      <c r="L355" s="28">
        <f t="shared" si="37"/>
        <v>6.7622402311768859E-3</v>
      </c>
      <c r="N355" s="24">
        <v>45208</v>
      </c>
      <c r="O355" s="25">
        <v>31.213132999999999</v>
      </c>
      <c r="P355" s="28">
        <f t="shared" si="38"/>
        <v>-3.0787796654041411E-2</v>
      </c>
      <c r="R355" s="24">
        <v>45208</v>
      </c>
      <c r="S355" s="233">
        <v>839.63000499999998</v>
      </c>
      <c r="T355" s="28">
        <f t="shared" si="39"/>
        <v>3.6577907101562612E-3</v>
      </c>
      <c r="V355" s="24">
        <v>45208</v>
      </c>
      <c r="W355" s="25">
        <v>154.431366</v>
      </c>
      <c r="X355" s="28">
        <f t="shared" si="40"/>
        <v>-5.0114109549819208E-3</v>
      </c>
      <c r="Z355" s="24">
        <v>45208</v>
      </c>
      <c r="AA355" s="27">
        <v>4327.78</v>
      </c>
      <c r="AB355" s="28">
        <f t="shared" si="41"/>
        <v>4.4748752466055031E-3</v>
      </c>
    </row>
    <row r="356" spans="2:28" x14ac:dyDescent="0.35">
      <c r="B356" s="24">
        <v>45215</v>
      </c>
      <c r="C356" s="25">
        <v>274.489105</v>
      </c>
      <c r="D356" s="28">
        <f t="shared" si="35"/>
        <v>-1.8620279512042481E-2</v>
      </c>
      <c r="F356" s="24">
        <v>45215</v>
      </c>
      <c r="G356" s="25">
        <v>144.84608499999999</v>
      </c>
      <c r="H356" s="28">
        <f t="shared" si="36"/>
        <v>-1.8000474614351392E-3</v>
      </c>
      <c r="J356" s="24">
        <v>45215</v>
      </c>
      <c r="K356" s="233">
        <v>55.170509000000003</v>
      </c>
      <c r="L356" s="28">
        <f t="shared" si="37"/>
        <v>-1.7712848627471356E-4</v>
      </c>
      <c r="N356" s="24">
        <v>45215</v>
      </c>
      <c r="O356" s="25">
        <v>29.793911000000001</v>
      </c>
      <c r="P356" s="28">
        <f t="shared" si="38"/>
        <v>-4.5468745479667061E-2</v>
      </c>
      <c r="R356" s="24">
        <v>45215</v>
      </c>
      <c r="S356" s="233">
        <v>808.46997099999999</v>
      </c>
      <c r="T356" s="28">
        <f t="shared" si="39"/>
        <v>-3.7111625137789095E-2</v>
      </c>
      <c r="V356" s="24">
        <v>45215</v>
      </c>
      <c r="W356" s="25">
        <v>150.64073200000001</v>
      </c>
      <c r="X356" s="28">
        <f t="shared" si="40"/>
        <v>-2.4545751929695325E-2</v>
      </c>
      <c r="Z356" s="24">
        <v>45215</v>
      </c>
      <c r="AA356" s="27">
        <v>4224.16</v>
      </c>
      <c r="AB356" s="28">
        <f t="shared" si="41"/>
        <v>-2.3942991556872073E-2</v>
      </c>
    </row>
    <row r="357" spans="2:28" x14ac:dyDescent="0.35">
      <c r="B357" s="24">
        <v>45222</v>
      </c>
      <c r="C357" s="25">
        <v>257.51629600000001</v>
      </c>
      <c r="D357" s="28">
        <f t="shared" si="35"/>
        <v>-6.1834180995999799E-2</v>
      </c>
      <c r="F357" s="24">
        <v>45222</v>
      </c>
      <c r="G357" s="25">
        <v>137.615173</v>
      </c>
      <c r="H357" s="28">
        <f t="shared" si="36"/>
        <v>-4.9921349272229132E-2</v>
      </c>
      <c r="J357" s="24">
        <v>45222</v>
      </c>
      <c r="K357" s="233">
        <v>49.854754999999997</v>
      </c>
      <c r="L357" s="28">
        <f t="shared" si="37"/>
        <v>-9.6351367720751036E-2</v>
      </c>
      <c r="N357" s="24">
        <v>45222</v>
      </c>
      <c r="O357" s="25">
        <v>29.268995</v>
      </c>
      <c r="P357" s="28">
        <f t="shared" si="38"/>
        <v>-1.7618230785478306E-2</v>
      </c>
      <c r="R357" s="24">
        <v>45222</v>
      </c>
      <c r="S357" s="233">
        <v>775.17999299999997</v>
      </c>
      <c r="T357" s="28">
        <f t="shared" si="39"/>
        <v>-4.1176517612427244E-2</v>
      </c>
      <c r="V357" s="24">
        <v>45222</v>
      </c>
      <c r="W357" s="25">
        <v>143.35485800000001</v>
      </c>
      <c r="X357" s="28">
        <f t="shared" si="40"/>
        <v>-4.8365896150849852E-2</v>
      </c>
      <c r="Z357" s="24">
        <v>45222</v>
      </c>
      <c r="AA357" s="27">
        <v>4117.37</v>
      </c>
      <c r="AB357" s="28">
        <f t="shared" si="41"/>
        <v>-2.5280765880080325E-2</v>
      </c>
    </row>
    <row r="358" spans="2:28" x14ac:dyDescent="0.35">
      <c r="B358" s="24">
        <v>45229</v>
      </c>
      <c r="C358" s="25">
        <v>265.677795</v>
      </c>
      <c r="D358" s="28">
        <f t="shared" si="35"/>
        <v>3.1693136033612346E-2</v>
      </c>
      <c r="F358" s="24">
        <v>45229</v>
      </c>
      <c r="G358" s="25">
        <v>140.08161899999999</v>
      </c>
      <c r="H358" s="28">
        <f t="shared" si="36"/>
        <v>1.7922776582201427E-2</v>
      </c>
      <c r="J358" s="24">
        <v>45229</v>
      </c>
      <c r="K358" s="233">
        <v>51.613644000000001</v>
      </c>
      <c r="L358" s="28">
        <f t="shared" si="37"/>
        <v>3.5280265643668374E-2</v>
      </c>
      <c r="N358" s="24">
        <v>45229</v>
      </c>
      <c r="O358" s="25">
        <v>30.386873000000001</v>
      </c>
      <c r="P358" s="28">
        <f t="shared" si="38"/>
        <v>3.8193248521174006E-2</v>
      </c>
      <c r="R358" s="24">
        <v>45229</v>
      </c>
      <c r="S358" s="233">
        <v>816.90002400000003</v>
      </c>
      <c r="T358" s="28">
        <f t="shared" si="39"/>
        <v>5.3819798468405677E-2</v>
      </c>
      <c r="V358" s="24">
        <v>45229</v>
      </c>
      <c r="W358" s="25">
        <v>149.006317</v>
      </c>
      <c r="X358" s="28">
        <f t="shared" si="40"/>
        <v>3.9422863507004413E-2</v>
      </c>
      <c r="Z358" s="24">
        <v>45229</v>
      </c>
      <c r="AA358" s="27">
        <v>4358.34</v>
      </c>
      <c r="AB358" s="28">
        <f t="shared" si="41"/>
        <v>5.852522362576118E-2</v>
      </c>
    </row>
    <row r="359" spans="2:28" x14ac:dyDescent="0.35">
      <c r="B359" s="24">
        <v>45236</v>
      </c>
      <c r="C359" s="25">
        <v>263.167328</v>
      </c>
      <c r="D359" s="28">
        <f t="shared" si="35"/>
        <v>-9.4492917633557383E-3</v>
      </c>
      <c r="F359" s="24">
        <v>45236</v>
      </c>
      <c r="G359" s="25">
        <v>137.27839700000001</v>
      </c>
      <c r="H359" s="28">
        <f t="shared" si="36"/>
        <v>-2.0011347812877389E-2</v>
      </c>
      <c r="J359" s="24">
        <v>45236</v>
      </c>
      <c r="K359" s="233">
        <v>49.454116999999997</v>
      </c>
      <c r="L359" s="28">
        <f t="shared" si="37"/>
        <v>-4.1840235113025592E-2</v>
      </c>
      <c r="N359" s="24">
        <v>45236</v>
      </c>
      <c r="O359" s="25">
        <v>28.656590999999999</v>
      </c>
      <c r="P359" s="28">
        <f t="shared" si="38"/>
        <v>-5.6941759028643846E-2</v>
      </c>
      <c r="R359" s="24">
        <v>45236</v>
      </c>
      <c r="S359" s="233">
        <v>798.94000200000005</v>
      </c>
      <c r="T359" s="28">
        <f t="shared" si="39"/>
        <v>-2.1985581432667378E-2</v>
      </c>
      <c r="V359" s="24">
        <v>45236</v>
      </c>
      <c r="W359" s="25">
        <v>144.979401</v>
      </c>
      <c r="X359" s="28">
        <f t="shared" si="40"/>
        <v>-2.7025136122249105E-2</v>
      </c>
      <c r="Z359" s="24">
        <v>45236</v>
      </c>
      <c r="AA359" s="27">
        <v>4415.24</v>
      </c>
      <c r="AB359" s="28">
        <f t="shared" si="41"/>
        <v>1.3055429360719906E-2</v>
      </c>
    </row>
    <row r="360" spans="2:28" x14ac:dyDescent="0.35">
      <c r="B360" s="24">
        <v>45243</v>
      </c>
      <c r="C360" s="25">
        <v>261.27710000000002</v>
      </c>
      <c r="D360" s="28">
        <f t="shared" si="35"/>
        <v>-7.1826089293272055E-3</v>
      </c>
      <c r="F360" s="24">
        <v>45243</v>
      </c>
      <c r="G360" s="25">
        <v>136.99115</v>
      </c>
      <c r="H360" s="28">
        <f t="shared" si="36"/>
        <v>-2.0924413911972417E-3</v>
      </c>
      <c r="J360" s="24">
        <v>45243</v>
      </c>
      <c r="K360" s="233">
        <v>49.678863999999997</v>
      </c>
      <c r="L360" s="28">
        <f t="shared" si="37"/>
        <v>4.5445559163457272E-3</v>
      </c>
      <c r="N360" s="24">
        <v>45243</v>
      </c>
      <c r="O360" s="25">
        <v>29.476427000000001</v>
      </c>
      <c r="P360" s="28">
        <f t="shared" si="38"/>
        <v>2.8608985625680372E-2</v>
      </c>
      <c r="R360" s="24">
        <v>45243</v>
      </c>
      <c r="S360" s="233">
        <v>802.42999299999997</v>
      </c>
      <c r="T360" s="28">
        <f t="shared" si="39"/>
        <v>4.3682767057142691E-3</v>
      </c>
      <c r="V360" s="24">
        <v>45243</v>
      </c>
      <c r="W360" s="25">
        <v>147.48022499999999</v>
      </c>
      <c r="X360" s="28">
        <f t="shared" si="40"/>
        <v>1.7249512570409964E-2</v>
      </c>
      <c r="Z360" s="24">
        <v>45243</v>
      </c>
      <c r="AA360" s="27">
        <v>4514.0200000000004</v>
      </c>
      <c r="AB360" s="28">
        <f t="shared" si="41"/>
        <v>2.2372509761643844E-2</v>
      </c>
    </row>
    <row r="361" spans="2:28" x14ac:dyDescent="0.35">
      <c r="B361" s="24">
        <v>45250</v>
      </c>
      <c r="C361" s="25">
        <v>263.40087899999997</v>
      </c>
      <c r="D361" s="28">
        <f t="shared" si="35"/>
        <v>8.1284544263540148E-3</v>
      </c>
      <c r="F361" s="24">
        <v>45250</v>
      </c>
      <c r="G361" s="25">
        <v>137.35763499999999</v>
      </c>
      <c r="H361" s="28">
        <f t="shared" si="36"/>
        <v>2.6752458096743759E-3</v>
      </c>
      <c r="J361" s="24">
        <v>45250</v>
      </c>
      <c r="K361" s="233">
        <v>48.623531</v>
      </c>
      <c r="L361" s="28">
        <f t="shared" si="37"/>
        <v>-2.1243098473427202E-2</v>
      </c>
      <c r="N361" s="24">
        <v>45250</v>
      </c>
      <c r="O361" s="25">
        <v>30.047829</v>
      </c>
      <c r="P361" s="28">
        <f t="shared" si="38"/>
        <v>1.9385049619480732E-2</v>
      </c>
      <c r="R361" s="24">
        <v>45250</v>
      </c>
      <c r="S361" s="233">
        <v>798.29998799999998</v>
      </c>
      <c r="T361" s="28">
        <f t="shared" si="39"/>
        <v>-5.1468726693021383E-3</v>
      </c>
      <c r="V361" s="24">
        <v>45250</v>
      </c>
      <c r="W361" s="25">
        <v>150.148438</v>
      </c>
      <c r="X361" s="28">
        <f t="shared" si="40"/>
        <v>1.8092005216292506E-2</v>
      </c>
      <c r="Z361" s="24">
        <v>45250</v>
      </c>
      <c r="AA361" s="27">
        <v>4559.34</v>
      </c>
      <c r="AB361" s="28">
        <f t="shared" si="41"/>
        <v>1.003983145843379E-2</v>
      </c>
    </row>
    <row r="362" spans="2:28" x14ac:dyDescent="0.35">
      <c r="B362" s="24">
        <v>45257</v>
      </c>
      <c r="C362" s="25">
        <v>270.33667000000003</v>
      </c>
      <c r="D362" s="28">
        <f t="shared" si="35"/>
        <v>2.6331692689605779E-2</v>
      </c>
      <c r="F362" s="24">
        <v>45257</v>
      </c>
      <c r="G362" s="25">
        <v>142.05278000000001</v>
      </c>
      <c r="H362" s="28">
        <f t="shared" si="36"/>
        <v>3.4181900409103738E-2</v>
      </c>
      <c r="J362" s="24">
        <v>45257</v>
      </c>
      <c r="K362" s="233">
        <v>48.955765</v>
      </c>
      <c r="L362" s="28">
        <f t="shared" si="37"/>
        <v>6.8327822592728626E-3</v>
      </c>
      <c r="N362" s="24">
        <v>45257</v>
      </c>
      <c r="O362" s="25">
        <v>28.481401000000002</v>
      </c>
      <c r="P362" s="28">
        <f t="shared" si="38"/>
        <v>-5.2131153967895583E-2</v>
      </c>
      <c r="R362" s="24">
        <v>45257</v>
      </c>
      <c r="S362" s="233">
        <v>814.85998500000005</v>
      </c>
      <c r="T362" s="28">
        <f t="shared" si="39"/>
        <v>2.074407772632969E-2</v>
      </c>
      <c r="V362" s="24">
        <v>45257</v>
      </c>
      <c r="W362" s="25">
        <v>157.18653900000001</v>
      </c>
      <c r="X362" s="28">
        <f t="shared" si="40"/>
        <v>4.6874287163746642E-2</v>
      </c>
      <c r="Z362" s="24">
        <v>45257</v>
      </c>
      <c r="AA362" s="27">
        <v>4594.63</v>
      </c>
      <c r="AB362" s="28">
        <f t="shared" si="41"/>
        <v>7.740155373365365E-3</v>
      </c>
    </row>
    <row r="363" spans="2:28" x14ac:dyDescent="0.35">
      <c r="B363" s="24">
        <v>45264</v>
      </c>
      <c r="C363" s="25">
        <v>267.03250100000002</v>
      </c>
      <c r="D363" s="28">
        <f t="shared" si="35"/>
        <v>-1.2222422507460751E-2</v>
      </c>
      <c r="F363" s="24">
        <v>45264</v>
      </c>
      <c r="G363" s="25">
        <v>147.867233</v>
      </c>
      <c r="H363" s="28">
        <f t="shared" si="36"/>
        <v>4.0931638226298528E-2</v>
      </c>
      <c r="J363" s="24">
        <v>45264</v>
      </c>
      <c r="K363" s="233">
        <v>49.160972999999998</v>
      </c>
      <c r="L363" s="28">
        <f t="shared" si="37"/>
        <v>4.1917024481181731E-3</v>
      </c>
      <c r="N363" s="24">
        <v>45264</v>
      </c>
      <c r="O363" s="25">
        <v>28.353328999999999</v>
      </c>
      <c r="P363" s="28">
        <f t="shared" si="38"/>
        <v>-4.496688909369384E-3</v>
      </c>
      <c r="R363" s="24">
        <v>45264</v>
      </c>
      <c r="S363" s="233">
        <v>840.14001499999995</v>
      </c>
      <c r="T363" s="28">
        <f t="shared" si="39"/>
        <v>3.1023771525607424E-2</v>
      </c>
      <c r="V363" s="24">
        <v>45264</v>
      </c>
      <c r="W363" s="25">
        <v>153.25637800000001</v>
      </c>
      <c r="X363" s="28">
        <f t="shared" si="40"/>
        <v>-2.5003165188337118E-2</v>
      </c>
      <c r="Z363" s="24">
        <v>45264</v>
      </c>
      <c r="AA363" s="27">
        <v>4604.37</v>
      </c>
      <c r="AB363" s="28">
        <f t="shared" si="41"/>
        <v>2.1198660175030248E-3</v>
      </c>
    </row>
    <row r="364" spans="2:28" x14ac:dyDescent="0.35">
      <c r="B364" s="24">
        <v>45271</v>
      </c>
      <c r="C364" s="25">
        <v>273.31341600000002</v>
      </c>
      <c r="D364" s="28">
        <f t="shared" si="35"/>
        <v>2.3521163066214212E-2</v>
      </c>
      <c r="F364" s="24">
        <v>45271</v>
      </c>
      <c r="G364" s="25">
        <v>152.58216899999999</v>
      </c>
      <c r="H364" s="28">
        <f t="shared" si="36"/>
        <v>3.1886280038796677E-2</v>
      </c>
      <c r="J364" s="24">
        <v>45271</v>
      </c>
      <c r="K364" s="233">
        <v>49.727722</v>
      </c>
      <c r="L364" s="28">
        <f t="shared" si="37"/>
        <v>1.1528433336744692E-2</v>
      </c>
      <c r="N364" s="24">
        <v>45271</v>
      </c>
      <c r="O364" s="25">
        <v>26.235202999999998</v>
      </c>
      <c r="P364" s="28">
        <f t="shared" si="38"/>
        <v>-7.4704666954628185E-2</v>
      </c>
      <c r="R364" s="24">
        <v>45271</v>
      </c>
      <c r="S364" s="233">
        <v>859.14001499999995</v>
      </c>
      <c r="T364" s="28">
        <f t="shared" si="39"/>
        <v>2.2615278002203087E-2</v>
      </c>
      <c r="V364" s="24">
        <v>45271</v>
      </c>
      <c r="W364" s="25">
        <v>153.99079900000001</v>
      </c>
      <c r="X364" s="28">
        <f t="shared" si="40"/>
        <v>4.7921072492003169E-3</v>
      </c>
      <c r="Z364" s="24">
        <v>45271</v>
      </c>
      <c r="AA364" s="27">
        <v>4719.1899999999996</v>
      </c>
      <c r="AB364" s="28">
        <f t="shared" si="41"/>
        <v>2.493717924493466E-2</v>
      </c>
    </row>
    <row r="365" spans="2:28" x14ac:dyDescent="0.35">
      <c r="B365" s="24">
        <v>45278</v>
      </c>
      <c r="C365" s="25">
        <v>281.95584100000002</v>
      </c>
      <c r="D365" s="28">
        <f t="shared" si="35"/>
        <v>3.162093221212392E-2</v>
      </c>
      <c r="F365" s="24">
        <v>45278</v>
      </c>
      <c r="G365" s="25">
        <v>153.47366299999999</v>
      </c>
      <c r="H365" s="28">
        <f t="shared" si="36"/>
        <v>5.8427141640646774E-3</v>
      </c>
      <c r="J365" s="24">
        <v>45278</v>
      </c>
      <c r="K365" s="233">
        <v>51.095748999999998</v>
      </c>
      <c r="L365" s="28">
        <f t="shared" si="37"/>
        <v>2.751034925750262E-2</v>
      </c>
      <c r="N365" s="24">
        <v>45278</v>
      </c>
      <c r="O365" s="25">
        <v>27.978961999999999</v>
      </c>
      <c r="P365" s="28">
        <f t="shared" si="38"/>
        <v>6.6466381068215785E-2</v>
      </c>
      <c r="R365" s="24">
        <v>45278</v>
      </c>
      <c r="S365" s="233">
        <v>846.71997099999999</v>
      </c>
      <c r="T365" s="28">
        <f t="shared" si="39"/>
        <v>-1.445636774350445E-2</v>
      </c>
      <c r="V365" s="24">
        <v>45278</v>
      </c>
      <c r="W365" s="25">
        <v>154.288544</v>
      </c>
      <c r="X365" s="28">
        <f t="shared" si="40"/>
        <v>1.933524612727E-3</v>
      </c>
      <c r="Z365" s="24">
        <v>45278</v>
      </c>
      <c r="AA365" s="27">
        <v>4754.63</v>
      </c>
      <c r="AB365" s="28">
        <f t="shared" si="41"/>
        <v>7.5097633280287734E-3</v>
      </c>
    </row>
    <row r="366" spans="2:28" x14ac:dyDescent="0.35">
      <c r="B366" s="24">
        <v>45285</v>
      </c>
      <c r="C366" s="25">
        <v>285.785889</v>
      </c>
      <c r="D366" s="28">
        <f t="shared" si="35"/>
        <v>1.3583857622584183E-2</v>
      </c>
      <c r="F366" s="24">
        <v>45285</v>
      </c>
      <c r="G366" s="25">
        <v>153.50337200000001</v>
      </c>
      <c r="H366" s="28">
        <f t="shared" si="36"/>
        <v>1.9357718724699602E-4</v>
      </c>
      <c r="J366" s="24">
        <v>45285</v>
      </c>
      <c r="K366" s="233">
        <v>50.138129999999997</v>
      </c>
      <c r="L366" s="28">
        <f t="shared" si="37"/>
        <v>-1.8741656962499964E-2</v>
      </c>
      <c r="N366" s="24">
        <v>45285</v>
      </c>
      <c r="O366" s="25">
        <v>28.36318</v>
      </c>
      <c r="P366" s="28">
        <f t="shared" si="38"/>
        <v>1.3732389357403729E-2</v>
      </c>
      <c r="R366" s="24">
        <v>45285</v>
      </c>
      <c r="S366" s="233">
        <v>878.28997800000002</v>
      </c>
      <c r="T366" s="28">
        <f t="shared" si="39"/>
        <v>3.7285062454255113E-2</v>
      </c>
      <c r="V366" s="24">
        <v>45285</v>
      </c>
      <c r="W366" s="25">
        <v>155.558899</v>
      </c>
      <c r="X366" s="28">
        <f t="shared" si="40"/>
        <v>8.2336313965085672E-3</v>
      </c>
      <c r="Z366" s="24">
        <v>45285</v>
      </c>
      <c r="AA366" s="27">
        <v>4769.83</v>
      </c>
      <c r="AB366" s="28">
        <f t="shared" si="41"/>
        <v>3.1968838795026766E-3</v>
      </c>
    </row>
    <row r="367" spans="2:28" x14ac:dyDescent="0.35">
      <c r="B367" s="24">
        <v>45292</v>
      </c>
      <c r="C367" s="25">
        <v>300.64968900000002</v>
      </c>
      <c r="D367" s="28">
        <f t="shared" si="35"/>
        <v>5.2010265629315322E-2</v>
      </c>
      <c r="F367" s="24">
        <v>45292</v>
      </c>
      <c r="G367" s="25">
        <v>160.605515</v>
      </c>
      <c r="H367" s="28">
        <f t="shared" si="36"/>
        <v>4.6267016206002154E-2</v>
      </c>
      <c r="J367" s="24">
        <v>45292</v>
      </c>
      <c r="K367" s="233">
        <v>51.037117000000002</v>
      </c>
      <c r="L367" s="28">
        <f t="shared" si="37"/>
        <v>1.7930206012868988E-2</v>
      </c>
      <c r="N367" s="24">
        <v>45292</v>
      </c>
      <c r="O367" s="25">
        <v>29.033097999999999</v>
      </c>
      <c r="P367" s="28">
        <f t="shared" si="38"/>
        <v>2.3619283874375174E-2</v>
      </c>
      <c r="R367" s="24">
        <v>45292</v>
      </c>
      <c r="S367" s="233">
        <v>913.169983</v>
      </c>
      <c r="T367" s="28">
        <f t="shared" si="39"/>
        <v>3.9713540941713976E-2</v>
      </c>
      <c r="V367" s="24">
        <v>45292</v>
      </c>
      <c r="W367" s="25">
        <v>159.915817</v>
      </c>
      <c r="X367" s="28">
        <f t="shared" si="40"/>
        <v>2.8008156576114773E-2</v>
      </c>
      <c r="Z367" s="24">
        <v>45292</v>
      </c>
      <c r="AA367" s="27">
        <v>4697.24</v>
      </c>
      <c r="AB367" s="28">
        <f t="shared" si="41"/>
        <v>-1.5218571731067998E-2</v>
      </c>
    </row>
    <row r="368" spans="2:28" x14ac:dyDescent="0.35">
      <c r="B368" s="24">
        <v>45299</v>
      </c>
      <c r="C368" s="25">
        <v>304.13247699999999</v>
      </c>
      <c r="D368" s="28">
        <f t="shared" si="35"/>
        <v>1.1584206228797855E-2</v>
      </c>
      <c r="F368" s="24">
        <v>45299</v>
      </c>
      <c r="G368" s="25">
        <v>160.86305200000001</v>
      </c>
      <c r="H368" s="28">
        <f t="shared" si="36"/>
        <v>1.6035377116410121E-3</v>
      </c>
      <c r="J368" s="24">
        <v>45299</v>
      </c>
      <c r="K368" s="233">
        <v>49.731506000000003</v>
      </c>
      <c r="L368" s="28">
        <f t="shared" si="37"/>
        <v>-2.5581597800675149E-2</v>
      </c>
      <c r="N368" s="24">
        <v>45299</v>
      </c>
      <c r="O368" s="25">
        <v>28.274515000000001</v>
      </c>
      <c r="P368" s="28">
        <f t="shared" si="38"/>
        <v>-2.6128214081735157E-2</v>
      </c>
      <c r="R368" s="24">
        <v>45299</v>
      </c>
      <c r="S368" s="233">
        <v>933.20001200000002</v>
      </c>
      <c r="T368" s="28">
        <f t="shared" si="39"/>
        <v>2.1934611707445928E-2</v>
      </c>
      <c r="V368" s="24">
        <v>45299</v>
      </c>
      <c r="W368" s="25">
        <v>161.16632100000001</v>
      </c>
      <c r="X368" s="28">
        <f t="shared" si="40"/>
        <v>7.8197643201236566E-3</v>
      </c>
      <c r="Z368" s="24">
        <v>45299</v>
      </c>
      <c r="AA368" s="27">
        <v>4783.83</v>
      </c>
      <c r="AB368" s="28">
        <f t="shared" si="41"/>
        <v>1.8434229462407803E-2</v>
      </c>
    </row>
    <row r="369" spans="2:28" x14ac:dyDescent="0.35">
      <c r="B369" s="24">
        <v>45306</v>
      </c>
      <c r="C369" s="25">
        <v>305.422394</v>
      </c>
      <c r="D369" s="28">
        <f t="shared" si="35"/>
        <v>4.2412997543830322E-3</v>
      </c>
      <c r="F369" s="24">
        <v>45306</v>
      </c>
      <c r="G369" s="25">
        <v>164.770004</v>
      </c>
      <c r="H369" s="28">
        <f t="shared" si="36"/>
        <v>2.4287441717815828E-2</v>
      </c>
      <c r="J369" s="24">
        <v>45306</v>
      </c>
      <c r="K369" s="233">
        <v>49.533805999999998</v>
      </c>
      <c r="L369" s="28">
        <f t="shared" si="37"/>
        <v>-3.9753471370845839E-3</v>
      </c>
      <c r="N369" s="24">
        <v>45306</v>
      </c>
      <c r="O369" s="25">
        <v>27.860742999999999</v>
      </c>
      <c r="P369" s="28">
        <f t="shared" si="38"/>
        <v>-1.4634097171958627E-2</v>
      </c>
      <c r="R369" s="24">
        <v>45306</v>
      </c>
      <c r="S369" s="233">
        <v>933.40002400000003</v>
      </c>
      <c r="T369" s="28">
        <f t="shared" si="39"/>
        <v>2.143291871281594E-4</v>
      </c>
      <c r="V369" s="24">
        <v>45306</v>
      </c>
      <c r="W369" s="25">
        <v>160.46165500000001</v>
      </c>
      <c r="X369" s="28">
        <f t="shared" si="40"/>
        <v>-4.3722906599078515E-3</v>
      </c>
      <c r="Z369" s="24">
        <v>45306</v>
      </c>
      <c r="AA369" s="27">
        <v>4839.8100000000004</v>
      </c>
      <c r="AB369" s="28">
        <f t="shared" si="41"/>
        <v>1.1701920845849534E-2</v>
      </c>
    </row>
    <row r="370" spans="2:28" x14ac:dyDescent="0.35">
      <c r="B370" s="24">
        <v>45313</v>
      </c>
      <c r="C370" s="25">
        <v>309.351654</v>
      </c>
      <c r="D370" s="28">
        <f t="shared" si="35"/>
        <v>1.2865002950634974E-2</v>
      </c>
      <c r="F370" s="24">
        <v>45313</v>
      </c>
      <c r="G370" s="25">
        <v>164.39999399999999</v>
      </c>
      <c r="H370" s="28">
        <f t="shared" si="36"/>
        <v>-2.2456150453210588E-3</v>
      </c>
      <c r="J370" s="24">
        <v>45313</v>
      </c>
      <c r="K370" s="233">
        <v>49.128517000000002</v>
      </c>
      <c r="L370" s="28">
        <f t="shared" si="37"/>
        <v>-8.1820686260206665E-3</v>
      </c>
      <c r="N370" s="24">
        <v>45313</v>
      </c>
      <c r="O370" s="25">
        <v>27.062747999999999</v>
      </c>
      <c r="P370" s="28">
        <f t="shared" si="38"/>
        <v>-2.8642272749150988E-2</v>
      </c>
      <c r="R370" s="24">
        <v>45313</v>
      </c>
      <c r="S370" s="233">
        <v>940.04998799999998</v>
      </c>
      <c r="T370" s="28">
        <f t="shared" si="39"/>
        <v>7.1244523559170769E-3</v>
      </c>
      <c r="V370" s="24">
        <v>45313</v>
      </c>
      <c r="W370" s="25">
        <v>158.29809599999999</v>
      </c>
      <c r="X370" s="28">
        <f t="shared" si="40"/>
        <v>-1.3483339680124939E-2</v>
      </c>
      <c r="Z370" s="24">
        <v>45313</v>
      </c>
      <c r="AA370" s="27">
        <v>4890.97</v>
      </c>
      <c r="AB370" s="28">
        <f t="shared" si="41"/>
        <v>1.0570662897923633E-2</v>
      </c>
    </row>
    <row r="371" spans="2:28" x14ac:dyDescent="0.35">
      <c r="B371" s="24">
        <v>45320</v>
      </c>
      <c r="C371" s="25">
        <v>320.68310500000001</v>
      </c>
      <c r="D371" s="28">
        <f t="shared" si="35"/>
        <v>3.6629676465217864E-2</v>
      </c>
      <c r="F371" s="24">
        <v>45320</v>
      </c>
      <c r="G371" s="25">
        <v>168.66999799999999</v>
      </c>
      <c r="H371" s="28">
        <f t="shared" si="36"/>
        <v>2.5973261288561922E-2</v>
      </c>
      <c r="J371" s="24">
        <v>45320</v>
      </c>
      <c r="K371" s="233">
        <v>48.149901999999997</v>
      </c>
      <c r="L371" s="28">
        <f t="shared" si="37"/>
        <v>-1.991948993697501E-2</v>
      </c>
      <c r="N371" s="24">
        <v>45320</v>
      </c>
      <c r="O371" s="25">
        <v>26.93</v>
      </c>
      <c r="P371" s="28">
        <f t="shared" si="38"/>
        <v>-4.9051929242366343E-3</v>
      </c>
      <c r="R371" s="24">
        <v>45320</v>
      </c>
      <c r="S371" s="233">
        <v>945.17999299999997</v>
      </c>
      <c r="T371" s="28">
        <f t="shared" si="39"/>
        <v>5.4571619227550272E-3</v>
      </c>
      <c r="V371" s="24">
        <v>45320</v>
      </c>
      <c r="W371" s="25">
        <v>155.42987099999999</v>
      </c>
      <c r="X371" s="28">
        <f t="shared" si="40"/>
        <v>-1.8119137705863486E-2</v>
      </c>
      <c r="Z371" s="24">
        <v>45320</v>
      </c>
      <c r="AA371" s="27">
        <v>4958.6099999999997</v>
      </c>
      <c r="AB371" s="28">
        <f t="shared" si="41"/>
        <v>1.3829567549995092E-2</v>
      </c>
    </row>
    <row r="372" spans="2:28" x14ac:dyDescent="0.35">
      <c r="B372" s="24">
        <v>45327</v>
      </c>
      <c r="C372" s="25">
        <v>288.86184700000001</v>
      </c>
      <c r="D372" s="28">
        <f t="shared" si="35"/>
        <v>-9.9229605501044427E-2</v>
      </c>
      <c r="F372" s="24">
        <v>45327</v>
      </c>
      <c r="G372" s="25">
        <v>174.08000200000001</v>
      </c>
      <c r="H372" s="28">
        <f t="shared" si="36"/>
        <v>3.2074489026791886E-2</v>
      </c>
      <c r="J372" s="24">
        <v>45327</v>
      </c>
      <c r="K372" s="233">
        <v>49.237254999999998</v>
      </c>
      <c r="L372" s="28">
        <f t="shared" si="37"/>
        <v>2.2582662785066487E-2</v>
      </c>
      <c r="N372" s="24">
        <v>45327</v>
      </c>
      <c r="O372" s="25">
        <v>27.559999000000001</v>
      </c>
      <c r="P372" s="28">
        <f t="shared" si="38"/>
        <v>2.3393947270701876E-2</v>
      </c>
      <c r="R372" s="24">
        <v>45327</v>
      </c>
      <c r="S372" s="233">
        <v>953.419983</v>
      </c>
      <c r="T372" s="28">
        <f t="shared" si="39"/>
        <v>8.7179056486863526E-3</v>
      </c>
      <c r="V372" s="24">
        <v>45327</v>
      </c>
      <c r="W372" s="25">
        <v>155.57873499999999</v>
      </c>
      <c r="X372" s="28">
        <f t="shared" si="40"/>
        <v>9.5775669787445672E-4</v>
      </c>
      <c r="Z372" s="24">
        <v>45327</v>
      </c>
      <c r="AA372" s="27">
        <v>5026.6099999999997</v>
      </c>
      <c r="AB372" s="28">
        <f t="shared" si="41"/>
        <v>1.3713520522888434E-2</v>
      </c>
    </row>
    <row r="373" spans="2:28" x14ac:dyDescent="0.35">
      <c r="B373" s="24">
        <v>45334</v>
      </c>
      <c r="C373" s="25">
        <v>281.49941999999999</v>
      </c>
      <c r="D373" s="28">
        <f t="shared" si="35"/>
        <v>-2.548771004708017E-2</v>
      </c>
      <c r="F373" s="24">
        <v>45334</v>
      </c>
      <c r="G373" s="25">
        <v>177.490005</v>
      </c>
      <c r="H373" s="28">
        <f t="shared" si="36"/>
        <v>1.9588711861342922E-2</v>
      </c>
      <c r="J373" s="24">
        <v>45334</v>
      </c>
      <c r="K373" s="233">
        <v>49.286678000000002</v>
      </c>
      <c r="L373" s="28">
        <f t="shared" si="37"/>
        <v>1.00377244832206E-3</v>
      </c>
      <c r="N373" s="24">
        <v>45334</v>
      </c>
      <c r="O373" s="25">
        <v>27.620000999999998</v>
      </c>
      <c r="P373" s="28">
        <f t="shared" si="38"/>
        <v>2.1771408627409006E-3</v>
      </c>
      <c r="R373" s="24">
        <v>45334</v>
      </c>
      <c r="S373" s="233">
        <v>948.04998799999998</v>
      </c>
      <c r="T373" s="28">
        <f t="shared" si="39"/>
        <v>-5.6323499567346724E-3</v>
      </c>
      <c r="V373" s="24">
        <v>45334</v>
      </c>
      <c r="W373" s="25">
        <v>155.37033099999999</v>
      </c>
      <c r="X373" s="28">
        <f t="shared" si="40"/>
        <v>-1.3395403941290907E-3</v>
      </c>
      <c r="Z373" s="24">
        <v>45334</v>
      </c>
      <c r="AA373" s="27">
        <v>5005.57</v>
      </c>
      <c r="AB373" s="28">
        <f t="shared" si="41"/>
        <v>-4.1857235791119551E-3</v>
      </c>
    </row>
    <row r="374" spans="2:28" x14ac:dyDescent="0.35">
      <c r="B374" s="24">
        <v>45341</v>
      </c>
      <c r="C374" s="25">
        <v>289.17999300000002</v>
      </c>
      <c r="D374" s="28">
        <f t="shared" si="35"/>
        <v>2.7284507371276412E-2</v>
      </c>
      <c r="F374" s="24">
        <v>45341</v>
      </c>
      <c r="G374" s="25">
        <v>178.08999600000001</v>
      </c>
      <c r="H374" s="28">
        <f t="shared" si="36"/>
        <v>3.3804213369650338E-3</v>
      </c>
      <c r="J374" s="24">
        <v>45341</v>
      </c>
      <c r="K374" s="233">
        <v>51.065978999999999</v>
      </c>
      <c r="L374" s="28">
        <f t="shared" si="37"/>
        <v>3.6101053513892589E-2</v>
      </c>
      <c r="N374" s="24">
        <v>45341</v>
      </c>
      <c r="O374" s="25">
        <v>27.76</v>
      </c>
      <c r="P374" s="28">
        <f t="shared" si="38"/>
        <v>5.0687543421885639E-3</v>
      </c>
      <c r="R374" s="24">
        <v>45341</v>
      </c>
      <c r="S374" s="233">
        <v>981.20001200000002</v>
      </c>
      <c r="T374" s="28">
        <f t="shared" si="39"/>
        <v>3.4966535962869472E-2</v>
      </c>
      <c r="V374" s="24">
        <v>45341</v>
      </c>
      <c r="W374" s="25">
        <v>161.83999600000001</v>
      </c>
      <c r="X374" s="28">
        <f t="shared" si="40"/>
        <v>4.1640285879290584E-2</v>
      </c>
      <c r="Z374" s="24">
        <v>45341</v>
      </c>
      <c r="AA374" s="27">
        <v>5088.8</v>
      </c>
      <c r="AB374" s="28">
        <f t="shared" si="41"/>
        <v>1.6627476990632495E-2</v>
      </c>
    </row>
    <row r="375" spans="2:28" x14ac:dyDescent="0.35">
      <c r="B375" s="24">
        <v>45348</v>
      </c>
      <c r="C375" s="25">
        <v>280.32998700000002</v>
      </c>
      <c r="D375" s="28">
        <f t="shared" si="35"/>
        <v>-3.0603797683887546E-2</v>
      </c>
      <c r="F375" s="24">
        <v>45348</v>
      </c>
      <c r="G375" s="25">
        <v>178.91000399999999</v>
      </c>
      <c r="H375" s="28">
        <f t="shared" si="36"/>
        <v>4.6044585233184776E-3</v>
      </c>
      <c r="J375" s="24">
        <v>45348</v>
      </c>
      <c r="K375" s="233">
        <v>50.304831999999998</v>
      </c>
      <c r="L375" s="28">
        <f t="shared" si="37"/>
        <v>-1.4905168076773778E-2</v>
      </c>
      <c r="N375" s="24">
        <v>45348</v>
      </c>
      <c r="O375" s="25">
        <v>26.59</v>
      </c>
      <c r="P375" s="28">
        <f t="shared" si="38"/>
        <v>-4.2146974063400622E-2</v>
      </c>
      <c r="R375" s="24">
        <v>45348</v>
      </c>
      <c r="S375" s="233">
        <v>982.82000700000003</v>
      </c>
      <c r="T375" s="28">
        <f t="shared" si="39"/>
        <v>1.6510344274232036E-3</v>
      </c>
      <c r="V375" s="24">
        <v>45348</v>
      </c>
      <c r="W375" s="25">
        <v>162.11999499999999</v>
      </c>
      <c r="X375" s="28">
        <f t="shared" si="40"/>
        <v>1.7300976700467263E-3</v>
      </c>
      <c r="Z375" s="24">
        <v>45348</v>
      </c>
      <c r="AA375" s="27">
        <v>5137.08</v>
      </c>
      <c r="AB375" s="28">
        <f t="shared" si="41"/>
        <v>9.4875019650997316E-3</v>
      </c>
    </row>
    <row r="376" spans="2:28" x14ac:dyDescent="0.35">
      <c r="B376" s="24">
        <v>45355</v>
      </c>
      <c r="C376" s="25">
        <v>273.75</v>
      </c>
      <c r="D376" s="28">
        <f t="shared" si="35"/>
        <v>-2.3472290889807734E-2</v>
      </c>
      <c r="F376" s="24">
        <v>45355</v>
      </c>
      <c r="G376" s="25">
        <v>178.85000600000001</v>
      </c>
      <c r="H376" s="28">
        <f t="shared" si="36"/>
        <v>-3.3535296326958619E-4</v>
      </c>
      <c r="J376" s="24">
        <v>45355</v>
      </c>
      <c r="K376" s="233">
        <v>53.171489999999999</v>
      </c>
      <c r="L376" s="28">
        <f t="shared" si="37"/>
        <v>5.6985738467429936E-2</v>
      </c>
      <c r="N376" s="24">
        <v>45355</v>
      </c>
      <c r="O376" s="25">
        <v>27.219999000000001</v>
      </c>
      <c r="P376" s="28">
        <f t="shared" si="38"/>
        <v>2.36930801053028E-2</v>
      </c>
      <c r="R376" s="24">
        <v>45355</v>
      </c>
      <c r="S376" s="233">
        <v>968.830017</v>
      </c>
      <c r="T376" s="28">
        <f t="shared" si="39"/>
        <v>-1.4234539285279402E-2</v>
      </c>
      <c r="V376" s="24">
        <v>45355</v>
      </c>
      <c r="W376" s="25">
        <v>159.520004</v>
      </c>
      <c r="X376" s="28">
        <f t="shared" si="40"/>
        <v>-1.603744806431795E-2</v>
      </c>
      <c r="Z376" s="24">
        <v>45355</v>
      </c>
      <c r="AA376" s="27">
        <v>5123.6899999999996</v>
      </c>
      <c r="AB376" s="28">
        <f t="shared" si="41"/>
        <v>-2.6065391233931479E-3</v>
      </c>
    </row>
    <row r="377" spans="2:28" x14ac:dyDescent="0.35">
      <c r="B377" s="24">
        <v>45362</v>
      </c>
      <c r="C377" s="25">
        <v>268.86999500000002</v>
      </c>
      <c r="D377" s="28">
        <f t="shared" si="35"/>
        <v>-1.7826502283105006E-2</v>
      </c>
      <c r="F377" s="24">
        <v>45362</v>
      </c>
      <c r="G377" s="25">
        <v>177.88000500000001</v>
      </c>
      <c r="H377" s="28">
        <f t="shared" si="36"/>
        <v>-5.4235446880555038E-3</v>
      </c>
      <c r="J377" s="24">
        <v>45362</v>
      </c>
      <c r="K377" s="233">
        <v>51.738163</v>
      </c>
      <c r="L377" s="28">
        <f t="shared" si="37"/>
        <v>-2.6956682989323744E-2</v>
      </c>
      <c r="N377" s="24">
        <v>45362</v>
      </c>
      <c r="O377" s="25">
        <v>27.940000999999999</v>
      </c>
      <c r="P377" s="28">
        <f t="shared" si="38"/>
        <v>2.6451213315621169E-2</v>
      </c>
      <c r="R377" s="24">
        <v>45362</v>
      </c>
      <c r="S377" s="233">
        <v>964.46997099999999</v>
      </c>
      <c r="T377" s="28">
        <f t="shared" si="39"/>
        <v>-4.5003209267823197E-3</v>
      </c>
      <c r="V377" s="24">
        <v>45362</v>
      </c>
      <c r="W377" s="25">
        <v>158.179993</v>
      </c>
      <c r="X377" s="28">
        <f t="shared" si="40"/>
        <v>-8.4002693480373924E-3</v>
      </c>
      <c r="Z377" s="24">
        <v>45362</v>
      </c>
      <c r="AA377" s="27">
        <v>5117.09</v>
      </c>
      <c r="AB377" s="28">
        <f t="shared" si="41"/>
        <v>-1.2881341377014577E-3</v>
      </c>
    </row>
    <row r="378" spans="2:28" x14ac:dyDescent="0.35">
      <c r="B378" s="24">
        <v>45369</v>
      </c>
      <c r="C378" s="25">
        <v>276.17001299999998</v>
      </c>
      <c r="D378" s="28">
        <f t="shared" si="35"/>
        <v>2.7150735060637698E-2</v>
      </c>
      <c r="F378" s="24">
        <v>45369</v>
      </c>
      <c r="G378" s="25">
        <v>178.449997</v>
      </c>
      <c r="H378" s="28">
        <f t="shared" si="36"/>
        <v>3.2043624014963523E-3</v>
      </c>
      <c r="J378" s="24">
        <v>45369</v>
      </c>
      <c r="K378" s="233">
        <v>51.332878000000001</v>
      </c>
      <c r="L378" s="28">
        <f t="shared" si="37"/>
        <v>-7.8333859669504902E-3</v>
      </c>
      <c r="N378" s="24">
        <v>45369</v>
      </c>
      <c r="O378" s="25">
        <v>27.360001</v>
      </c>
      <c r="P378" s="28">
        <f t="shared" si="38"/>
        <v>-2.0758768047288156E-2</v>
      </c>
      <c r="R378" s="24">
        <v>45369</v>
      </c>
      <c r="S378" s="233">
        <v>967.23999000000003</v>
      </c>
      <c r="T378" s="28">
        <f t="shared" si="39"/>
        <v>2.872063499424371E-3</v>
      </c>
      <c r="V378" s="24">
        <v>45369</v>
      </c>
      <c r="W378" s="25">
        <v>155.229996</v>
      </c>
      <c r="X378" s="28">
        <f t="shared" si="40"/>
        <v>-1.8649621510604009E-2</v>
      </c>
      <c r="Z378" s="24">
        <v>45369</v>
      </c>
      <c r="AA378" s="27">
        <v>5234.18</v>
      </c>
      <c r="AB378" s="28">
        <f t="shared" si="41"/>
        <v>2.2882145907146434E-2</v>
      </c>
    </row>
    <row r="379" spans="2:28" x14ac:dyDescent="0.35">
      <c r="B379" s="24">
        <v>45376</v>
      </c>
      <c r="C379" s="25">
        <v>284.32000699999998</v>
      </c>
      <c r="D379" s="28">
        <f t="shared" si="35"/>
        <v>2.9510785445051146E-2</v>
      </c>
      <c r="F379" s="24">
        <v>45376</v>
      </c>
      <c r="G379" s="25">
        <v>182.10000600000001</v>
      </c>
      <c r="H379" s="28">
        <f t="shared" si="36"/>
        <v>2.0453959436043112E-2</v>
      </c>
      <c r="J379" s="24">
        <v>45376</v>
      </c>
      <c r="K379" s="233">
        <v>53.606430000000003</v>
      </c>
      <c r="L379" s="28">
        <f t="shared" si="37"/>
        <v>4.4290366887280275E-2</v>
      </c>
      <c r="N379" s="24">
        <v>45376</v>
      </c>
      <c r="O379" s="25">
        <v>27.75</v>
      </c>
      <c r="P379" s="28">
        <f t="shared" si="38"/>
        <v>1.4254348894212399E-2</v>
      </c>
      <c r="R379" s="24">
        <v>45376</v>
      </c>
      <c r="S379" s="233">
        <v>962.48999000000003</v>
      </c>
      <c r="T379" s="28">
        <f t="shared" si="39"/>
        <v>-4.9108804940953821E-3</v>
      </c>
      <c r="V379" s="24">
        <v>45376</v>
      </c>
      <c r="W379" s="25">
        <v>158.19000199999999</v>
      </c>
      <c r="X379" s="28">
        <f t="shared" si="40"/>
        <v>1.9068518174799154E-2</v>
      </c>
      <c r="Z379" s="24">
        <v>45376</v>
      </c>
      <c r="AA379" s="27">
        <v>5254.35</v>
      </c>
      <c r="AB379" s="28">
        <f t="shared" si="41"/>
        <v>3.8535166922040176E-3</v>
      </c>
    </row>
    <row r="380" spans="2:28" x14ac:dyDescent="0.35">
      <c r="B380" s="24">
        <v>45383</v>
      </c>
      <c r="C380" s="25">
        <v>269.95001200000002</v>
      </c>
      <c r="D380" s="28">
        <f t="shared" si="35"/>
        <v>-5.0541624388747208E-2</v>
      </c>
      <c r="F380" s="24">
        <v>45383</v>
      </c>
      <c r="G380" s="25">
        <v>170</v>
      </c>
      <c r="H380" s="28">
        <f t="shared" si="36"/>
        <v>-6.6447037898505146E-2</v>
      </c>
      <c r="J380" s="24">
        <v>45383</v>
      </c>
      <c r="K380" s="233">
        <v>50.729889</v>
      </c>
      <c r="L380" s="28">
        <f t="shared" si="37"/>
        <v>-5.3660372459050198E-2</v>
      </c>
      <c r="N380" s="24">
        <v>45383</v>
      </c>
      <c r="O380" s="25">
        <v>26.66</v>
      </c>
      <c r="P380" s="28">
        <f t="shared" si="38"/>
        <v>-3.9279279279279322E-2</v>
      </c>
      <c r="R380" s="24">
        <v>45383</v>
      </c>
      <c r="S380" s="233">
        <v>942.70001200000002</v>
      </c>
      <c r="T380" s="28">
        <f t="shared" si="39"/>
        <v>-2.0561229940687542E-2</v>
      </c>
      <c r="V380" s="24">
        <v>45383</v>
      </c>
      <c r="W380" s="25">
        <v>152.38999899999999</v>
      </c>
      <c r="X380" s="28">
        <f t="shared" si="40"/>
        <v>-3.666478871401746E-2</v>
      </c>
      <c r="Z380" s="24">
        <v>45383</v>
      </c>
      <c r="AA380" s="27">
        <v>5204.34</v>
      </c>
      <c r="AB380" s="28">
        <f t="shared" si="41"/>
        <v>-9.5178280853007724E-3</v>
      </c>
    </row>
    <row r="381" spans="2:28" x14ac:dyDescent="0.35">
      <c r="B381" s="24">
        <v>45390</v>
      </c>
      <c r="C381" s="25">
        <v>266.45001200000002</v>
      </c>
      <c r="D381" s="28">
        <f t="shared" si="35"/>
        <v>-1.296536337994314E-2</v>
      </c>
      <c r="F381" s="24">
        <v>45390</v>
      </c>
      <c r="G381" s="25">
        <v>169.029999</v>
      </c>
      <c r="H381" s="28">
        <f t="shared" si="36"/>
        <v>-5.7058882352940543E-3</v>
      </c>
      <c r="J381" s="24">
        <v>45390</v>
      </c>
      <c r="K381" s="233">
        <v>50.290000999999997</v>
      </c>
      <c r="L381" s="28">
        <f t="shared" si="37"/>
        <v>-8.6711800217028623E-3</v>
      </c>
      <c r="N381" s="24">
        <v>45390</v>
      </c>
      <c r="O381" s="25">
        <v>26.32</v>
      </c>
      <c r="P381" s="28">
        <f t="shared" si="38"/>
        <v>-1.275318829707428E-2</v>
      </c>
      <c r="R381" s="24">
        <v>45390</v>
      </c>
      <c r="S381" s="233">
        <v>936.20001200000002</v>
      </c>
      <c r="T381" s="28">
        <f t="shared" si="39"/>
        <v>-6.8950884875983443E-3</v>
      </c>
      <c r="V381" s="24">
        <v>45390</v>
      </c>
      <c r="W381" s="25">
        <v>150.199997</v>
      </c>
      <c r="X381" s="28">
        <f t="shared" si="40"/>
        <v>-1.4371034939110405E-2</v>
      </c>
      <c r="Z381" s="24">
        <v>45390</v>
      </c>
      <c r="AA381" s="27">
        <v>5160.6400000000003</v>
      </c>
      <c r="AB381" s="28">
        <f t="shared" si="41"/>
        <v>-8.3968380236494333E-3</v>
      </c>
    </row>
    <row r="382" spans="2:28" x14ac:dyDescent="0.35">
      <c r="B382" s="29">
        <v>45392</v>
      </c>
      <c r="C382" s="30">
        <v>266.45001200000002</v>
      </c>
      <c r="D382" s="31">
        <f t="shared" si="35"/>
        <v>0</v>
      </c>
      <c r="F382" s="29">
        <v>45392</v>
      </c>
      <c r="G382" s="30">
        <v>169.029999</v>
      </c>
      <c r="H382" s="31">
        <f t="shared" si="36"/>
        <v>0</v>
      </c>
      <c r="J382" s="29">
        <v>45392</v>
      </c>
      <c r="K382" s="230">
        <v>50.29</v>
      </c>
      <c r="L382" s="231">
        <f t="shared" si="37"/>
        <v>-1.9884668467362587E-8</v>
      </c>
      <c r="N382" s="29">
        <v>45392</v>
      </c>
      <c r="O382" s="30">
        <v>26.32</v>
      </c>
      <c r="P382" s="31">
        <f t="shared" si="38"/>
        <v>0</v>
      </c>
      <c r="R382" s="29">
        <v>45392</v>
      </c>
      <c r="S382" s="230">
        <v>936.2</v>
      </c>
      <c r="T382" s="31">
        <f t="shared" si="39"/>
        <v>-1.2817773731299553E-8</v>
      </c>
      <c r="V382" s="29">
        <v>45392</v>
      </c>
      <c r="W382" s="30">
        <v>150.199997</v>
      </c>
      <c r="X382" s="31">
        <f t="shared" si="40"/>
        <v>0</v>
      </c>
      <c r="Z382" s="29">
        <v>45392</v>
      </c>
      <c r="AA382" s="32">
        <v>5160.6400000000003</v>
      </c>
      <c r="AB382" s="31">
        <f t="shared" si="41"/>
        <v>0</v>
      </c>
    </row>
    <row r="385" spans="1:22" ht="15" thickBot="1" x14ac:dyDescent="0.4">
      <c r="Q385" s="33"/>
      <c r="R385" s="33"/>
      <c r="S385" s="33"/>
      <c r="T385" s="33"/>
      <c r="U385" s="33"/>
    </row>
    <row r="386" spans="1:22" ht="15" thickBot="1" x14ac:dyDescent="0.4">
      <c r="A386" s="34" t="s">
        <v>289</v>
      </c>
      <c r="B386" s="35">
        <f>_xlfn.COVARIANCE.P(D17:D382,$AB$17:$AB$382/_xlfn.VAR.P($AB$17:$AB$382))</f>
        <v>0.65923165891289892</v>
      </c>
      <c r="C386" s="36"/>
      <c r="D386" s="35"/>
      <c r="E386" s="35"/>
      <c r="F386" s="35">
        <f>_xlfn.COVARIANCE.P(H17:H382,$AB$17:$AB$382/_xlfn.VAR.P($AB$17:$AB$382))</f>
        <v>0.75986650941682876</v>
      </c>
      <c r="G386" s="36"/>
      <c r="H386" s="35"/>
      <c r="I386" s="35"/>
      <c r="J386" s="35">
        <f>_xlfn.COVARIANCE.P(L17:L382,$AB$17:$AB$382/_xlfn.VAR.P($AB$17:$AB$382))</f>
        <v>0.58850520096136949</v>
      </c>
      <c r="K386" s="36"/>
      <c r="L386" s="35"/>
      <c r="M386" s="35"/>
      <c r="N386" s="35">
        <f>_xlfn.COVARIANCE.P(P17:P382,$AB$17:$AB$382/_xlfn.VAR.P($AB$17:$AB$382))</f>
        <v>0.63558083885568717</v>
      </c>
      <c r="O386" s="36"/>
      <c r="P386" s="35"/>
      <c r="Q386" s="37"/>
      <c r="R386" s="37">
        <f>_xlfn.COVARIANCE.P(T17:T382,$AB$17:$AB$382/_xlfn.VAR.P($AB$17:$AB$382))</f>
        <v>0.64347097704068723</v>
      </c>
      <c r="S386" s="33"/>
      <c r="T386" s="33"/>
      <c r="U386" s="33"/>
      <c r="V386" s="35">
        <f>_xlfn.COVARIANCE.P(X17:X382,$AB$17:$AB$382/_xlfn.VAR.P($AB$17:$AB$382))</f>
        <v>0.5339692449104223</v>
      </c>
    </row>
    <row r="387" spans="1:22" ht="15" thickBot="1" x14ac:dyDescent="0.4">
      <c r="C387" s="38"/>
      <c r="G387" s="38"/>
      <c r="K387" s="38"/>
      <c r="O387" s="38"/>
      <c r="R387" s="39"/>
      <c r="S387" s="39"/>
      <c r="T387" s="39"/>
      <c r="U387" s="39"/>
    </row>
    <row r="388" spans="1:22" ht="15" thickBot="1" x14ac:dyDescent="0.4">
      <c r="A388" s="34" t="s">
        <v>294</v>
      </c>
      <c r="B388" s="35">
        <f>SLOPE(D17:D382,$AB$17:$AB$382)</f>
        <v>0.65923165891289937</v>
      </c>
      <c r="C388" s="40"/>
      <c r="D388" s="41"/>
      <c r="E388" s="41"/>
      <c r="F388" s="35">
        <f>SLOPE(H17:H382,$AB$17:$AB$382)</f>
        <v>0.75986650941682876</v>
      </c>
      <c r="G388" s="40"/>
      <c r="H388" s="41"/>
      <c r="I388" s="41"/>
      <c r="J388" s="35">
        <f>SLOPE(L17:L382,$AB$17:$AB$382)</f>
        <v>0.58850520096136882</v>
      </c>
      <c r="K388" s="40"/>
      <c r="L388" s="41"/>
      <c r="M388" s="41"/>
      <c r="N388" s="35">
        <f>SLOPE(P17:P382,$AB$17:$AB$382)</f>
        <v>0.63558083885568739</v>
      </c>
      <c r="O388" s="40"/>
      <c r="P388" s="41"/>
      <c r="Q388" s="41"/>
      <c r="R388" s="37">
        <f>SLOPE(T17:T382,$AB$17:$AB$382)</f>
        <v>0.64347097704068767</v>
      </c>
      <c r="S388" s="33"/>
      <c r="T388" s="33"/>
      <c r="U388" s="33"/>
      <c r="V388" s="35">
        <f>SLOPE(X17:X382,$AB$17:$AB$382)</f>
        <v>0.53396924491042197</v>
      </c>
    </row>
  </sheetData>
  <mergeCells count="8">
    <mergeCell ref="B3:D3"/>
    <mergeCell ref="Z14:AB14"/>
    <mergeCell ref="B14:D14"/>
    <mergeCell ref="F14:H14"/>
    <mergeCell ref="J14:L14"/>
    <mergeCell ref="N14:P14"/>
    <mergeCell ref="R14:T14"/>
    <mergeCell ref="V14:X14"/>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F8FB-9F7E-49E2-85EC-C6B2A580F326}">
  <dimension ref="A1:P67"/>
  <sheetViews>
    <sheetView zoomScale="51" workbookViewId="0">
      <selection activeCell="C5" sqref="C5"/>
    </sheetView>
  </sheetViews>
  <sheetFormatPr defaultRowHeight="14.5" x14ac:dyDescent="0.35"/>
  <cols>
    <col min="1" max="1" width="25" style="12" customWidth="1"/>
    <col min="2" max="2" width="54" style="12" bestFit="1" customWidth="1"/>
    <col min="3" max="3" width="16.453125" style="12" customWidth="1"/>
    <col min="4" max="4" width="15" style="12" customWidth="1"/>
    <col min="5" max="5" width="12.453125" style="12" customWidth="1"/>
    <col min="6" max="6" width="27.08984375" style="12" bestFit="1" customWidth="1"/>
    <col min="7" max="7" width="11.26953125" style="12" customWidth="1"/>
    <col min="8" max="8" width="10.90625" style="12" customWidth="1"/>
    <col min="9" max="9" width="8.7265625" style="12"/>
    <col min="10" max="10" width="12.90625" style="12" customWidth="1"/>
    <col min="11" max="11" width="12.54296875" style="12" customWidth="1"/>
    <col min="12" max="12" width="19.54296875" style="12" customWidth="1"/>
    <col min="13" max="13" width="9.453125" style="12" bestFit="1" customWidth="1"/>
    <col min="14" max="14" width="8.81640625" style="12" bestFit="1" customWidth="1"/>
    <col min="15" max="16384" width="8.7265625" style="12"/>
  </cols>
  <sheetData>
    <row r="1" spans="1:14" ht="14.5" customHeight="1" x14ac:dyDescent="0.35">
      <c r="A1" s="509" t="s">
        <v>12</v>
      </c>
      <c r="B1" s="509" t="s">
        <v>352</v>
      </c>
      <c r="C1" s="509"/>
      <c r="D1" s="509"/>
    </row>
    <row r="2" spans="1:14" ht="14.5" customHeight="1" x14ac:dyDescent="0.35">
      <c r="A2" s="509"/>
      <c r="B2" s="509"/>
      <c r="C2" s="509"/>
      <c r="D2" s="509"/>
    </row>
    <row r="3" spans="1:14" ht="14.5" customHeight="1" x14ac:dyDescent="0.35">
      <c r="A3" s="520" t="s">
        <v>403</v>
      </c>
      <c r="B3" s="509"/>
      <c r="C3" s="509"/>
      <c r="D3" s="509"/>
    </row>
    <row r="4" spans="1:14" ht="14.5" customHeight="1" x14ac:dyDescent="0.35">
      <c r="A4" s="520"/>
      <c r="B4" s="509"/>
      <c r="C4" s="509"/>
      <c r="D4" s="509"/>
    </row>
    <row r="5" spans="1:14" ht="15.5" x14ac:dyDescent="0.35">
      <c r="B5" s="340"/>
      <c r="C5" s="294"/>
      <c r="D5" s="294"/>
      <c r="E5" s="294"/>
      <c r="F5" s="295"/>
      <c r="G5" s="296"/>
      <c r="H5" s="294"/>
      <c r="I5" s="294"/>
      <c r="J5" s="294"/>
      <c r="K5" s="294"/>
      <c r="L5" s="294"/>
      <c r="M5" s="294"/>
      <c r="N5" s="294"/>
    </row>
    <row r="6" spans="1:14" ht="15.5" x14ac:dyDescent="0.35">
      <c r="B6" s="297"/>
      <c r="C6" s="294"/>
      <c r="D6" s="294"/>
      <c r="E6" s="294"/>
      <c r="F6" s="294"/>
      <c r="G6" s="294"/>
      <c r="H6" s="294"/>
      <c r="I6" s="294"/>
      <c r="J6" s="294"/>
      <c r="K6" s="294"/>
      <c r="L6" s="294"/>
      <c r="M6" s="294"/>
      <c r="N6" s="294"/>
    </row>
    <row r="7" spans="1:14" ht="31" x14ac:dyDescent="0.35">
      <c r="B7" s="294"/>
      <c r="C7" s="356">
        <v>1</v>
      </c>
      <c r="D7" s="357" t="str">
        <f>IF(C7=A27,B27,B28)</f>
        <v>Bottoms Up Beta</v>
      </c>
      <c r="E7" s="298"/>
      <c r="F7" s="299" t="s">
        <v>317</v>
      </c>
      <c r="G7" s="296"/>
      <c r="H7" s="294"/>
      <c r="I7" s="294"/>
      <c r="J7" s="517" t="s">
        <v>318</v>
      </c>
      <c r="K7" s="518"/>
      <c r="L7" s="518"/>
      <c r="M7" s="518"/>
      <c r="N7" s="519"/>
    </row>
    <row r="8" spans="1:14" ht="15.5" x14ac:dyDescent="0.35">
      <c r="B8" s="299" t="s">
        <v>319</v>
      </c>
      <c r="C8" s="296"/>
      <c r="D8" s="296"/>
      <c r="E8" s="298"/>
      <c r="F8" s="300" t="s">
        <v>320</v>
      </c>
      <c r="G8" s="301" t="s">
        <v>321</v>
      </c>
      <c r="H8" s="302" t="s">
        <v>322</v>
      </c>
      <c r="I8" s="294"/>
      <c r="J8" s="303" t="s">
        <v>320</v>
      </c>
      <c r="K8" s="302" t="s">
        <v>323</v>
      </c>
      <c r="L8" s="380" t="s">
        <v>320</v>
      </c>
      <c r="M8" s="302" t="s">
        <v>324</v>
      </c>
      <c r="N8" s="304" t="s">
        <v>322</v>
      </c>
    </row>
    <row r="9" spans="1:14" ht="31" x14ac:dyDescent="0.35">
      <c r="B9" s="300" t="s">
        <v>320</v>
      </c>
      <c r="C9" s="301" t="s">
        <v>321</v>
      </c>
      <c r="D9" s="302" t="s">
        <v>322</v>
      </c>
      <c r="E9" s="298"/>
      <c r="F9" s="305" t="s">
        <v>325</v>
      </c>
      <c r="G9" s="306" t="s">
        <v>326</v>
      </c>
      <c r="H9" s="307">
        <f>D10+1.74%</f>
        <v>6.3500000000000001E-2</v>
      </c>
      <c r="I9" s="294"/>
      <c r="J9" s="308" t="s">
        <v>327</v>
      </c>
      <c r="K9" s="309">
        <f>D28</f>
        <v>0.2944737570606546</v>
      </c>
      <c r="L9" s="381" t="s">
        <v>328</v>
      </c>
      <c r="M9" s="307">
        <f>H11</f>
        <v>5.0165000000000001E-2</v>
      </c>
      <c r="N9" s="310">
        <f>K9*M9</f>
        <v>1.4772276022947738E-2</v>
      </c>
    </row>
    <row r="10" spans="1:14" ht="31" x14ac:dyDescent="0.35">
      <c r="B10" s="311" t="s">
        <v>329</v>
      </c>
      <c r="C10" s="312" t="s">
        <v>330</v>
      </c>
      <c r="D10" s="313">
        <v>4.6100000000000002E-2</v>
      </c>
      <c r="E10" s="298"/>
      <c r="F10" s="314" t="s">
        <v>331</v>
      </c>
      <c r="G10" s="315"/>
      <c r="H10" s="316">
        <f>IS!K72</f>
        <v>0.21</v>
      </c>
      <c r="I10" s="294"/>
      <c r="J10" s="317" t="s">
        <v>332</v>
      </c>
      <c r="K10" s="318">
        <f>E28</f>
        <v>0.7055262429393454</v>
      </c>
      <c r="L10" s="347" t="s">
        <v>333</v>
      </c>
      <c r="M10" s="316">
        <f>D13</f>
        <v>8.1686672947135358E-2</v>
      </c>
      <c r="N10" s="310">
        <f>K10*M10</f>
        <v>5.7632091462607477E-2</v>
      </c>
    </row>
    <row r="11" spans="1:14" ht="17.5" thickBot="1" x14ac:dyDescent="0.4">
      <c r="B11" s="320" t="s">
        <v>289</v>
      </c>
      <c r="C11" s="321" t="str">
        <f>D7</f>
        <v>Bottoms Up Beta</v>
      </c>
      <c r="D11" s="322">
        <f>CHOOSE(C7,H27,H28)</f>
        <v>0.68435909513721849</v>
      </c>
      <c r="E11" s="298"/>
      <c r="F11" s="314" t="s">
        <v>334</v>
      </c>
      <c r="G11" s="294"/>
      <c r="H11" s="323">
        <f>H9*(1-H10)</f>
        <v>5.0165000000000001E-2</v>
      </c>
      <c r="I11" s="294"/>
      <c r="J11" s="382" t="s">
        <v>335</v>
      </c>
      <c r="K11" s="383"/>
      <c r="L11" s="383"/>
      <c r="M11" s="383"/>
      <c r="N11" s="427">
        <f>N9+N10</f>
        <v>7.2404367485555218E-2</v>
      </c>
    </row>
    <row r="12" spans="1:14" ht="16" thickTop="1" x14ac:dyDescent="0.35">
      <c r="B12" s="320" t="s">
        <v>336</v>
      </c>
      <c r="C12" s="321" t="s">
        <v>337</v>
      </c>
      <c r="D12" s="316">
        <v>5.1999999999999998E-2</v>
      </c>
      <c r="E12" s="298"/>
      <c r="F12" s="314"/>
      <c r="G12" s="294"/>
      <c r="H12" s="324"/>
      <c r="I12" s="294"/>
      <c r="J12" s="314"/>
      <c r="K12" s="325"/>
      <c r="L12" s="294"/>
      <c r="M12" s="294"/>
      <c r="N12" s="294"/>
    </row>
    <row r="13" spans="1:14" ht="15.5" x14ac:dyDescent="0.35">
      <c r="B13" s="311" t="s">
        <v>338</v>
      </c>
      <c r="C13" s="311"/>
      <c r="D13" s="307">
        <f>D10+D11*D12</f>
        <v>8.1686672947135358E-2</v>
      </c>
      <c r="E13" s="298"/>
      <c r="F13" s="294"/>
      <c r="G13" s="294"/>
      <c r="H13" s="294"/>
      <c r="I13" s="294"/>
      <c r="J13" s="294"/>
      <c r="K13" s="294"/>
      <c r="L13" s="294"/>
      <c r="M13" s="294"/>
      <c r="N13" s="294"/>
    </row>
    <row r="14" spans="1:14" ht="15.5" x14ac:dyDescent="0.35">
      <c r="E14" s="298"/>
      <c r="F14" s="294"/>
      <c r="G14" s="294"/>
      <c r="H14" s="294"/>
      <c r="I14" s="294"/>
      <c r="J14" s="326"/>
      <c r="K14" s="326"/>
      <c r="L14" s="294"/>
      <c r="M14" s="294"/>
      <c r="N14" s="294"/>
    </row>
    <row r="15" spans="1:14" ht="15.5" x14ac:dyDescent="0.35">
      <c r="B15" s="314"/>
      <c r="C15" s="320"/>
      <c r="D15" s="324"/>
      <c r="E15" s="298"/>
      <c r="F15" s="294"/>
      <c r="G15" s="294"/>
      <c r="H15" s="294"/>
      <c r="I15" s="294"/>
      <c r="J15" s="294"/>
      <c r="K15" s="294"/>
      <c r="L15" s="294"/>
      <c r="M15" s="294"/>
      <c r="N15" s="294"/>
    </row>
    <row r="16" spans="1:14" ht="15.5" x14ac:dyDescent="0.35">
      <c r="B16" s="327" t="s">
        <v>339</v>
      </c>
      <c r="C16" s="294"/>
      <c r="D16" s="294"/>
      <c r="E16" s="319"/>
      <c r="F16" s="294"/>
      <c r="G16" s="294"/>
      <c r="H16" s="328"/>
      <c r="I16" s="329"/>
      <c r="J16" s="294"/>
      <c r="K16" s="294"/>
      <c r="L16" s="294"/>
      <c r="M16" s="294"/>
      <c r="N16" s="294"/>
    </row>
    <row r="17" spans="1:14" ht="46.5" x14ac:dyDescent="0.35">
      <c r="B17" s="415" t="s">
        <v>320</v>
      </c>
      <c r="C17" s="414" t="s">
        <v>402</v>
      </c>
      <c r="D17" s="341" t="s">
        <v>340</v>
      </c>
      <c r="E17" s="341" t="s">
        <v>341</v>
      </c>
      <c r="F17" s="414" t="s">
        <v>342</v>
      </c>
      <c r="G17" s="414" t="s">
        <v>400</v>
      </c>
      <c r="H17" s="414" t="s">
        <v>401</v>
      </c>
      <c r="I17" s="296"/>
      <c r="J17" s="294"/>
      <c r="K17" s="330"/>
      <c r="L17" s="330"/>
      <c r="M17" s="330"/>
      <c r="N17" s="330"/>
    </row>
    <row r="18" spans="1:14" ht="15.5" x14ac:dyDescent="0.35">
      <c r="B18" s="331" t="s">
        <v>343</v>
      </c>
      <c r="C18" s="360"/>
      <c r="D18" s="360"/>
      <c r="E18" s="360"/>
      <c r="F18" s="360"/>
      <c r="G18" s="360"/>
      <c r="H18" s="360"/>
      <c r="I18" s="329"/>
      <c r="J18" s="294"/>
      <c r="K18" s="329"/>
      <c r="L18" s="329"/>
      <c r="M18" s="329"/>
      <c r="N18" s="329"/>
    </row>
    <row r="19" spans="1:14" ht="15.5" x14ac:dyDescent="0.35">
      <c r="B19" s="91" t="s">
        <v>295</v>
      </c>
      <c r="C19" s="416">
        <f>VLOOKUP(B19,Beta!$C$7:$D$11,2)</f>
        <v>0.75986650941682876</v>
      </c>
      <c r="D19" s="361">
        <f>AVERAGE(C41:C43)/(AVERAGE(C41:C43)+AVERAGE(F41:F43))</f>
        <v>0.20804467646747501</v>
      </c>
      <c r="E19" s="361">
        <f>1-D19</f>
        <v>0.79195532353252496</v>
      </c>
      <c r="F19" s="361">
        <v>0.21</v>
      </c>
      <c r="G19" s="379">
        <f>C19*E19/(E19+D19*(1-F19))</f>
        <v>0.62927287014953925</v>
      </c>
      <c r="H19" s="379">
        <f>G19*($E$25+$D$25*(1-F19))/$E$25</f>
        <v>0.74203351185938049</v>
      </c>
      <c r="I19" s="325"/>
      <c r="J19" s="332"/>
      <c r="K19" s="332"/>
      <c r="L19" s="294"/>
      <c r="M19" s="294"/>
      <c r="N19" s="294"/>
    </row>
    <row r="20" spans="1:14" ht="15.5" x14ac:dyDescent="0.35">
      <c r="B20" s="91" t="s">
        <v>312</v>
      </c>
      <c r="C20" s="416">
        <f>VLOOKUP(B20,Beta!$C$5:$D$11,2)</f>
        <v>0.58850520096136949</v>
      </c>
      <c r="D20" s="361">
        <f>AVERAGE(C46:C48)/(AVERAGE(C46:C48)+AVERAGE(F46:F48))</f>
        <v>0.24654613785785365</v>
      </c>
      <c r="E20" s="361">
        <f t="shared" ref="E20:E23" si="0">1-D20</f>
        <v>0.75345386214214638</v>
      </c>
      <c r="F20" s="361">
        <v>0.21</v>
      </c>
      <c r="G20" s="379">
        <f t="shared" ref="G20" si="1">C20*E20/(E20+D20*(1-F20))</f>
        <v>0.4676225274604302</v>
      </c>
      <c r="H20" s="379">
        <f>G20*($E$25+$D$25*(1-F20))/$E$25</f>
        <v>0.55141672672709408</v>
      </c>
      <c r="I20" s="325"/>
      <c r="J20" s="332"/>
      <c r="K20" s="332"/>
      <c r="L20" s="294"/>
      <c r="M20" s="294"/>
      <c r="N20" s="294"/>
    </row>
    <row r="21" spans="1:14" ht="15.5" x14ac:dyDescent="0.35">
      <c r="B21" s="91" t="s">
        <v>297</v>
      </c>
      <c r="C21" s="416">
        <f>VLOOKUP(B21,Beta!$C$5:$D$11,2)</f>
        <v>0.63558083885568717</v>
      </c>
      <c r="D21" s="378">
        <f>AVERAGE(C52:C54)/(AVERAGE(C52:C54)+AVERAGE(F52:F54))</f>
        <v>0.1848880004535072</v>
      </c>
      <c r="E21" s="361">
        <f t="shared" si="0"/>
        <v>0.81511199954649283</v>
      </c>
      <c r="F21" s="361">
        <v>0.21</v>
      </c>
      <c r="G21" s="379">
        <f>C21*E21/(E21+D22*(1-F21))</f>
        <v>0.61814476704078047</v>
      </c>
      <c r="H21" s="379">
        <f>G21*($E$25+$D$25*(1-F21))/$E$25</f>
        <v>0.72891134209515196</v>
      </c>
      <c r="I21" s="325"/>
      <c r="J21" s="332"/>
      <c r="K21" s="332"/>
      <c r="L21" s="294"/>
      <c r="M21" s="294"/>
      <c r="N21" s="294"/>
    </row>
    <row r="22" spans="1:14" ht="15.5" x14ac:dyDescent="0.35">
      <c r="B22" s="91" t="s">
        <v>311</v>
      </c>
      <c r="C22" s="416">
        <f>VLOOKUP(B22,Beta!$C$5:$D$11,2)</f>
        <v>0.64347097704068723</v>
      </c>
      <c r="D22" s="361">
        <f>AVERAGE(C58:C60)/(AVERAGE(C58:C60)+AVERAGE(F58:F60))</f>
        <v>2.9103729640818247E-2</v>
      </c>
      <c r="E22" s="361">
        <f t="shared" si="0"/>
        <v>0.9708962703591818</v>
      </c>
      <c r="F22" s="361">
        <v>0.21</v>
      </c>
      <c r="G22" s="379">
        <f>C22*E22/(E22+D22*(1-F22))</f>
        <v>0.6285853490849308</v>
      </c>
      <c r="H22" s="379">
        <f>G22*($E$25+$D$25*(1-F22))/$E$25</f>
        <v>0.74122279254467771</v>
      </c>
      <c r="I22" s="325"/>
      <c r="J22" s="332"/>
      <c r="K22" s="332"/>
      <c r="L22" s="294"/>
      <c r="M22" s="294"/>
      <c r="N22" s="294"/>
    </row>
    <row r="23" spans="1:14" ht="15.5" x14ac:dyDescent="0.35">
      <c r="B23" s="91" t="s">
        <v>296</v>
      </c>
      <c r="C23" s="416">
        <f>VLOOKUP(B23,Beta!$C$5:$D$11,2)</f>
        <v>0.58850520096136949</v>
      </c>
      <c r="D23" s="361">
        <f>AVERAGE(C64:C66)/(AVERAGE(C64:C66)+AVERAGE(F64:F66))</f>
        <v>6.432817734123869E-2</v>
      </c>
      <c r="E23" s="361">
        <f t="shared" si="0"/>
        <v>0.93567182265876125</v>
      </c>
      <c r="F23" s="361">
        <v>0.21</v>
      </c>
      <c r="G23" s="379">
        <f>C23*E23/(E23+D23*(1-F23))</f>
        <v>0.55818825294194474</v>
      </c>
      <c r="H23" s="379">
        <f>G23*($E$25+$D$25*(1-F23))/$E$25</f>
        <v>0.6582111024597882</v>
      </c>
      <c r="I23" s="325"/>
      <c r="J23" s="332"/>
      <c r="K23" s="332"/>
      <c r="L23" s="294"/>
      <c r="M23" s="294"/>
      <c r="N23" s="294"/>
    </row>
    <row r="24" spans="1:14" ht="15.5" x14ac:dyDescent="0.35">
      <c r="B24" s="294"/>
      <c r="C24" s="332"/>
      <c r="D24" s="325"/>
      <c r="E24" s="325"/>
      <c r="F24" s="325"/>
      <c r="G24" s="333"/>
      <c r="H24" s="322"/>
      <c r="I24" s="325"/>
      <c r="J24" s="332"/>
      <c r="K24" s="332"/>
      <c r="L24" s="294"/>
      <c r="M24" s="294"/>
      <c r="N24" s="294"/>
    </row>
    <row r="25" spans="1:14" ht="15.5" x14ac:dyDescent="0.35">
      <c r="B25" s="334"/>
      <c r="C25" s="334"/>
      <c r="D25" s="335">
        <f>MEDIAN(D19:D23)</f>
        <v>0.1848880004535072</v>
      </c>
      <c r="E25" s="470">
        <f>MEDIAN(E19:E23)</f>
        <v>0.81511199954649283</v>
      </c>
      <c r="F25" s="331" t="s">
        <v>344</v>
      </c>
      <c r="G25" s="322"/>
      <c r="H25" s="335"/>
      <c r="I25" s="325"/>
      <c r="J25" s="332"/>
      <c r="K25" s="332"/>
      <c r="L25" s="294"/>
      <c r="M25" s="294"/>
      <c r="N25" s="294"/>
    </row>
    <row r="26" spans="1:14" ht="15.5" x14ac:dyDescent="0.35">
      <c r="B26" s="329" t="s">
        <v>345</v>
      </c>
      <c r="C26" s="294"/>
      <c r="D26" s="294"/>
      <c r="E26" s="294"/>
      <c r="F26" s="294"/>
      <c r="G26" s="322"/>
      <c r="H26" s="336"/>
      <c r="I26" s="325"/>
      <c r="J26" s="332"/>
      <c r="K26" s="332"/>
      <c r="L26" s="294"/>
      <c r="M26" s="294"/>
      <c r="N26" s="294"/>
    </row>
    <row r="27" spans="1:14" ht="15.5" x14ac:dyDescent="0.35">
      <c r="A27" s="12">
        <v>1</v>
      </c>
      <c r="B27" s="294" t="s">
        <v>362</v>
      </c>
      <c r="C27" s="294"/>
      <c r="D27" s="294"/>
      <c r="E27" s="294"/>
      <c r="F27" s="294"/>
      <c r="G27" s="322"/>
      <c r="H27" s="336">
        <f>AVERAGE(H19:H24)</f>
        <v>0.68435909513721849</v>
      </c>
      <c r="I27" s="325"/>
      <c r="J27" s="332"/>
      <c r="K27" s="332"/>
      <c r="L27" s="294"/>
      <c r="M27" s="294"/>
      <c r="N27" s="294"/>
    </row>
    <row r="28" spans="1:14" ht="15.5" x14ac:dyDescent="0.35">
      <c r="A28" s="12">
        <v>2</v>
      </c>
      <c r="B28" s="294" t="s">
        <v>363</v>
      </c>
      <c r="C28" s="332">
        <f>Beta!D6</f>
        <v>0.65923165891289892</v>
      </c>
      <c r="D28" s="325">
        <f>C36/(F36+C36)</f>
        <v>0.2944737570606546</v>
      </c>
      <c r="E28" s="325">
        <f>1-D28</f>
        <v>0.7055262429393454</v>
      </c>
      <c r="F28" s="325">
        <v>0.21</v>
      </c>
      <c r="G28" s="322">
        <f>C28*E28/(E28+D28*(1-F28))</f>
        <v>0.49576296388255409</v>
      </c>
      <c r="H28" s="336">
        <f>G28*($E$28+$D$28*(1-F28))/$E$28</f>
        <v>0.65923165891289892</v>
      </c>
      <c r="I28" s="337"/>
      <c r="J28" s="332"/>
      <c r="K28" s="332"/>
      <c r="L28" s="329"/>
      <c r="M28" s="329"/>
      <c r="N28" s="329"/>
    </row>
    <row r="29" spans="1:14" ht="15.5" x14ac:dyDescent="0.35">
      <c r="B29" s="294"/>
      <c r="C29" s="294"/>
      <c r="D29" s="294"/>
      <c r="E29" s="294"/>
      <c r="F29" s="294"/>
      <c r="G29" s="294"/>
      <c r="H29" s="294"/>
      <c r="I29" s="294"/>
      <c r="J29" s="294"/>
      <c r="K29" s="294"/>
      <c r="L29" s="294"/>
      <c r="M29" s="294"/>
      <c r="N29" s="294"/>
    </row>
    <row r="30" spans="1:14" ht="15.5" x14ac:dyDescent="0.35">
      <c r="B30" s="294"/>
      <c r="C30" s="294"/>
      <c r="D30" s="294"/>
      <c r="E30" s="294"/>
      <c r="F30" s="294"/>
      <c r="G30" s="294"/>
      <c r="H30" s="294"/>
      <c r="I30" s="294"/>
      <c r="J30" s="294"/>
      <c r="K30" s="294"/>
      <c r="L30" s="294"/>
      <c r="M30" s="294"/>
      <c r="N30" s="294"/>
    </row>
    <row r="31" spans="1:14" ht="18.5" x14ac:dyDescent="0.35">
      <c r="B31" s="377" t="s">
        <v>346</v>
      </c>
      <c r="C31" s="294"/>
      <c r="D31" s="294"/>
      <c r="E31" s="294"/>
      <c r="F31" s="294"/>
      <c r="G31" s="294"/>
      <c r="H31" s="294"/>
      <c r="I31" s="294"/>
      <c r="J31" s="294"/>
      <c r="K31" s="294"/>
      <c r="L31" s="294"/>
      <c r="M31" s="294"/>
      <c r="N31" s="294"/>
    </row>
    <row r="32" spans="1:14" ht="15.5" x14ac:dyDescent="0.35">
      <c r="B32" s="294"/>
      <c r="C32" s="294"/>
      <c r="D32" s="294"/>
      <c r="E32" s="294"/>
      <c r="F32" s="294"/>
      <c r="G32" s="294"/>
      <c r="H32" s="294"/>
      <c r="I32" s="294"/>
      <c r="J32" s="294"/>
      <c r="K32" s="294"/>
      <c r="L32" s="294"/>
      <c r="M32" s="294"/>
      <c r="N32" s="294"/>
    </row>
    <row r="33" spans="2:16" ht="17" x14ac:dyDescent="0.35">
      <c r="D33" s="516" t="s">
        <v>347</v>
      </c>
      <c r="E33" s="516"/>
      <c r="F33" s="516"/>
      <c r="G33" s="342"/>
      <c r="H33" s="294"/>
      <c r="I33" s="294"/>
      <c r="J33" s="294"/>
      <c r="K33" s="294"/>
      <c r="L33" s="294"/>
      <c r="M33" s="294"/>
      <c r="N33" s="294"/>
    </row>
    <row r="34" spans="2:16" ht="17" x14ac:dyDescent="0.35">
      <c r="B34" s="294"/>
      <c r="C34" s="369" t="s">
        <v>280</v>
      </c>
      <c r="D34" s="369" t="s">
        <v>348</v>
      </c>
      <c r="E34" s="369" t="s">
        <v>349</v>
      </c>
      <c r="F34" s="369" t="s">
        <v>350</v>
      </c>
      <c r="G34" s="370" t="s">
        <v>351</v>
      </c>
      <c r="H34" s="294"/>
      <c r="I34" s="294"/>
      <c r="J34" s="294"/>
      <c r="K34" s="294"/>
      <c r="L34" s="294"/>
      <c r="M34" s="294"/>
      <c r="N34" s="294"/>
    </row>
    <row r="35" spans="2:16" ht="15.5" x14ac:dyDescent="0.35">
      <c r="B35" s="258" t="s">
        <v>364</v>
      </c>
      <c r="C35" s="6"/>
      <c r="D35" s="6"/>
      <c r="E35" s="6"/>
      <c r="F35" s="374"/>
      <c r="G35" s="2"/>
      <c r="H35" s="294"/>
      <c r="I35" s="294"/>
      <c r="J35" s="294"/>
      <c r="K35" s="294"/>
      <c r="L35" s="294"/>
      <c r="M35" s="294"/>
      <c r="N35" s="294"/>
    </row>
    <row r="36" spans="2:16" ht="15.5" x14ac:dyDescent="0.35">
      <c r="B36" s="338">
        <v>45291</v>
      </c>
      <c r="C36" s="363">
        <f>BS!J34+BS!J30</f>
        <v>64613</v>
      </c>
      <c r="D36" s="367">
        <v>288.86</v>
      </c>
      <c r="E36" s="363">
        <f>535918901/10^6</f>
        <v>535.91890100000001</v>
      </c>
      <c r="F36" s="364">
        <f t="shared" ref="F36:F38" si="2">D36*E36</f>
        <v>154805.53374286002</v>
      </c>
      <c r="G36" s="428">
        <f>$F$28</f>
        <v>0.21</v>
      </c>
      <c r="H36" s="294"/>
      <c r="I36" s="515" t="s">
        <v>417</v>
      </c>
      <c r="J36" s="515"/>
      <c r="K36" s="515"/>
      <c r="L36" s="515"/>
      <c r="M36" s="515"/>
      <c r="N36" s="515"/>
      <c r="O36" s="515"/>
      <c r="P36" s="515"/>
    </row>
    <row r="37" spans="2:16" ht="15.5" x14ac:dyDescent="0.35">
      <c r="B37" s="338">
        <v>44926</v>
      </c>
      <c r="C37" s="363">
        <f>BS!I34+BS!I30</f>
        <v>38945</v>
      </c>
      <c r="D37" s="367">
        <v>230.16</v>
      </c>
      <c r="E37" s="363">
        <f>533976238/10^6</f>
        <v>533.97623799999997</v>
      </c>
      <c r="F37" s="364">
        <f t="shared" si="2"/>
        <v>122899.97093807999</v>
      </c>
      <c r="G37" s="428">
        <f t="shared" ref="G37:G38" si="3">$F$28</f>
        <v>0.21</v>
      </c>
      <c r="H37" s="294"/>
      <c r="I37" s="515"/>
      <c r="J37" s="515"/>
      <c r="K37" s="515"/>
      <c r="L37" s="515"/>
      <c r="M37" s="515"/>
      <c r="N37" s="515"/>
      <c r="O37" s="515"/>
      <c r="P37" s="515"/>
    </row>
    <row r="38" spans="2:16" ht="15.5" x14ac:dyDescent="0.35">
      <c r="B38" s="338">
        <v>44561</v>
      </c>
      <c r="C38" s="363">
        <f>BS!H34+BS!H30</f>
        <v>33309</v>
      </c>
      <c r="D38" s="367">
        <v>220.5</v>
      </c>
      <c r="E38" s="363">
        <f>557029370/10^6</f>
        <v>557.02936999999997</v>
      </c>
      <c r="F38" s="364">
        <f t="shared" si="2"/>
        <v>122824.97608499999</v>
      </c>
      <c r="G38" s="428">
        <f t="shared" si="3"/>
        <v>0.21</v>
      </c>
      <c r="H38" s="294"/>
      <c r="I38" s="294"/>
      <c r="J38" s="294"/>
      <c r="K38" s="294"/>
      <c r="L38" s="294"/>
      <c r="M38" s="294"/>
      <c r="N38" s="294"/>
    </row>
    <row r="39" spans="2:16" ht="15.5" x14ac:dyDescent="0.35">
      <c r="C39" s="52"/>
      <c r="D39" s="52"/>
      <c r="E39" s="52"/>
      <c r="F39" s="358"/>
      <c r="G39" s="428"/>
      <c r="H39" s="294"/>
      <c r="I39" s="294"/>
      <c r="J39" s="294"/>
      <c r="K39" s="294"/>
      <c r="L39" s="294"/>
      <c r="M39" s="294"/>
      <c r="N39" s="294"/>
    </row>
    <row r="40" spans="2:16" ht="15.5" x14ac:dyDescent="0.35">
      <c r="B40" s="371" t="s">
        <v>295</v>
      </c>
      <c r="C40" s="6"/>
      <c r="D40" s="6"/>
      <c r="E40" s="6"/>
      <c r="F40" s="374"/>
      <c r="G40" s="429"/>
      <c r="H40" s="294"/>
      <c r="I40" s="294"/>
      <c r="J40" s="294"/>
      <c r="K40" s="294"/>
      <c r="L40" s="294"/>
      <c r="M40" s="294"/>
      <c r="N40" s="294"/>
    </row>
    <row r="41" spans="2:16" ht="15.5" x14ac:dyDescent="0.35">
      <c r="B41" s="338">
        <v>45291</v>
      </c>
      <c r="C41" s="364">
        <f>52194+7191</f>
        <v>59385</v>
      </c>
      <c r="D41" s="368">
        <v>162.88</v>
      </c>
      <c r="E41" s="363">
        <f>1766473359/10^6</f>
        <v>1766.4733590000001</v>
      </c>
      <c r="F41" s="364">
        <f>D41*E41</f>
        <v>287723.18071391998</v>
      </c>
      <c r="G41" s="325">
        <v>0.21</v>
      </c>
      <c r="H41" s="294"/>
      <c r="I41" s="294"/>
      <c r="J41" s="294"/>
      <c r="K41" s="294"/>
      <c r="L41" s="294"/>
      <c r="M41" s="294"/>
      <c r="N41" s="294"/>
    </row>
    <row r="42" spans="2:16" ht="15.5" x14ac:dyDescent="0.35">
      <c r="B42" s="338">
        <v>44926</v>
      </c>
      <c r="C42" s="364">
        <f>59135+4135</f>
        <v>63270</v>
      </c>
      <c r="D42" s="368">
        <v>140.69</v>
      </c>
      <c r="E42" s="363">
        <f>1769399971/10^6</f>
        <v>1769.3999710000001</v>
      </c>
      <c r="F42" s="364">
        <f t="shared" ref="F42" si="4">D42*E42</f>
        <v>248936.88191999</v>
      </c>
      <c r="G42" s="325">
        <v>0.21</v>
      </c>
      <c r="H42" s="294"/>
      <c r="I42" s="294"/>
      <c r="J42" s="294"/>
      <c r="K42" s="294"/>
      <c r="L42" s="294"/>
      <c r="M42" s="294"/>
      <c r="N42" s="294"/>
    </row>
    <row r="43" spans="2:16" ht="15.5" x14ac:dyDescent="0.35">
      <c r="B43" s="338">
        <v>44561</v>
      </c>
      <c r="C43" s="364">
        <f>64189+12481</f>
        <v>76670</v>
      </c>
      <c r="D43" s="368">
        <v>125.57</v>
      </c>
      <c r="E43" s="363">
        <f>1768753829/10^6</f>
        <v>1768.753829</v>
      </c>
      <c r="F43" s="364">
        <f>D43*E43</f>
        <v>222102.41830753</v>
      </c>
      <c r="G43" s="325">
        <v>0.21</v>
      </c>
      <c r="H43" s="294"/>
      <c r="I43" s="294"/>
      <c r="J43" s="294"/>
      <c r="K43" s="294"/>
      <c r="L43" s="294"/>
      <c r="M43" s="294"/>
      <c r="N43" s="294"/>
    </row>
    <row r="44" spans="2:16" ht="15.5" x14ac:dyDescent="0.35">
      <c r="B44" s="339"/>
      <c r="C44" s="364"/>
      <c r="D44" s="368"/>
      <c r="E44" s="364"/>
      <c r="F44" s="364"/>
      <c r="G44" s="325"/>
      <c r="H44" s="294"/>
      <c r="I44" s="294"/>
      <c r="J44" s="294"/>
      <c r="K44" s="294"/>
      <c r="L44" s="294"/>
      <c r="M44" s="294"/>
      <c r="N44" s="294"/>
    </row>
    <row r="45" spans="2:16" ht="15.5" x14ac:dyDescent="0.35">
      <c r="B45" s="372" t="s">
        <v>312</v>
      </c>
      <c r="C45" s="375"/>
      <c r="D45" s="376"/>
      <c r="E45" s="375"/>
      <c r="F45" s="375"/>
      <c r="G45" s="430"/>
      <c r="H45" s="294"/>
      <c r="I45" s="294"/>
      <c r="J45" s="294"/>
      <c r="K45" s="294"/>
      <c r="L45" s="294"/>
      <c r="M45" s="294"/>
      <c r="N45" s="294"/>
    </row>
    <row r="46" spans="2:16" ht="15.5" x14ac:dyDescent="0.35">
      <c r="B46" s="338">
        <v>45291</v>
      </c>
      <c r="C46" s="364">
        <f>36653+3119</f>
        <v>39772</v>
      </c>
      <c r="D46" s="368">
        <v>49.42</v>
      </c>
      <c r="E46" s="364">
        <f>2022</f>
        <v>2022</v>
      </c>
      <c r="F46" s="364">
        <f>D46*E46</f>
        <v>99927.24</v>
      </c>
      <c r="G46" s="325">
        <v>0.21</v>
      </c>
      <c r="H46" s="294"/>
      <c r="I46" s="294"/>
      <c r="J46" s="294"/>
      <c r="K46" s="294"/>
      <c r="L46" s="294"/>
      <c r="M46" s="294"/>
      <c r="N46" s="294"/>
    </row>
    <row r="47" spans="2:16" ht="15.5" x14ac:dyDescent="0.35">
      <c r="B47" s="338">
        <v>44926</v>
      </c>
      <c r="C47" s="364">
        <f>35056+4264</f>
        <v>39320</v>
      </c>
      <c r="D47" s="368">
        <v>68.66</v>
      </c>
      <c r="E47" s="364">
        <f>2098775978/10^6</f>
        <v>2098.7759780000001</v>
      </c>
      <c r="F47" s="364">
        <f>D47*E47</f>
        <v>144101.95864947999</v>
      </c>
      <c r="G47" s="325">
        <v>0.21</v>
      </c>
      <c r="H47" s="294"/>
      <c r="I47" s="294"/>
      <c r="J47" s="294"/>
      <c r="K47" s="294"/>
      <c r="L47" s="294"/>
      <c r="M47" s="294"/>
      <c r="N47" s="294"/>
    </row>
    <row r="48" spans="2:16" ht="15.5" x14ac:dyDescent="0.35">
      <c r="B48" s="338">
        <v>44561</v>
      </c>
      <c r="C48" s="364">
        <f>39605+4948</f>
        <v>44553</v>
      </c>
      <c r="D48" s="368">
        <v>61.4</v>
      </c>
      <c r="E48" s="364">
        <f>2179712820/10^6</f>
        <v>2179.7128200000002</v>
      </c>
      <c r="F48" s="364">
        <f t="shared" ref="F48" si="5">D48*E48</f>
        <v>133834.36714800002</v>
      </c>
      <c r="G48" s="325">
        <v>0.21</v>
      </c>
      <c r="H48" s="294"/>
      <c r="I48" s="294"/>
      <c r="J48" s="294"/>
      <c r="K48" s="294"/>
      <c r="L48" s="294"/>
      <c r="M48" s="294"/>
      <c r="N48" s="294"/>
    </row>
    <row r="49" spans="2:14" ht="15.5" x14ac:dyDescent="0.35">
      <c r="B49" s="294"/>
      <c r="C49" s="364"/>
      <c r="D49" s="368"/>
      <c r="E49" s="364"/>
      <c r="F49" s="364"/>
      <c r="G49" s="325"/>
      <c r="H49" s="294"/>
      <c r="I49" s="294"/>
      <c r="J49" s="294"/>
      <c r="K49" s="294"/>
      <c r="L49" s="294"/>
      <c r="M49" s="294"/>
      <c r="N49" s="294"/>
    </row>
    <row r="50" spans="2:14" ht="15.5" x14ac:dyDescent="0.35">
      <c r="B50" s="294"/>
      <c r="C50" s="364"/>
      <c r="D50" s="368"/>
      <c r="E50" s="364"/>
      <c r="F50" s="364"/>
      <c r="G50" s="325"/>
      <c r="H50" s="294"/>
      <c r="I50" s="294"/>
      <c r="J50" s="294"/>
      <c r="K50" s="294"/>
      <c r="L50" s="294"/>
      <c r="M50" s="294"/>
      <c r="N50" s="294"/>
    </row>
    <row r="51" spans="2:14" ht="15.5" x14ac:dyDescent="0.35">
      <c r="B51" s="373" t="s">
        <v>297</v>
      </c>
      <c r="C51" s="375"/>
      <c r="D51" s="376"/>
      <c r="E51" s="375"/>
      <c r="F51" s="375"/>
      <c r="G51" s="430"/>
      <c r="H51" s="294"/>
      <c r="I51" s="294"/>
      <c r="J51" s="294"/>
      <c r="K51" s="294"/>
      <c r="L51" s="294"/>
      <c r="M51" s="294"/>
      <c r="N51" s="294"/>
    </row>
    <row r="52" spans="2:14" ht="15.5" x14ac:dyDescent="0.35">
      <c r="B52" s="338">
        <v>45291</v>
      </c>
      <c r="C52" s="366">
        <f>61538+10350</f>
        <v>71888</v>
      </c>
      <c r="D52" s="368">
        <v>27.51</v>
      </c>
      <c r="E52" s="364">
        <f>5646778425/10^6</f>
        <v>5646.7784250000004</v>
      </c>
      <c r="F52" s="364">
        <f>E52*D52</f>
        <v>155342.87447175002</v>
      </c>
      <c r="G52" s="325">
        <v>0.21</v>
      </c>
      <c r="H52" s="294"/>
      <c r="I52" s="294"/>
      <c r="J52" s="294"/>
      <c r="K52" s="294"/>
      <c r="L52" s="294"/>
      <c r="M52" s="294"/>
      <c r="N52" s="294"/>
    </row>
    <row r="53" spans="2:14" ht="15.5" x14ac:dyDescent="0.35">
      <c r="B53" s="338">
        <v>44926</v>
      </c>
      <c r="C53" s="364">
        <f>32884+2945</f>
        <v>35829</v>
      </c>
      <c r="D53" s="368">
        <v>41.2</v>
      </c>
      <c r="E53" s="364">
        <f>5619074629/10^6</f>
        <v>5619.0746289999997</v>
      </c>
      <c r="F53" s="364">
        <f>E53*D53</f>
        <v>231505.87471480001</v>
      </c>
      <c r="G53" s="325">
        <v>0.21</v>
      </c>
      <c r="H53" s="294"/>
      <c r="I53" s="294"/>
      <c r="J53" s="294"/>
      <c r="K53" s="294"/>
      <c r="L53" s="294"/>
      <c r="M53" s="294"/>
      <c r="N53" s="294"/>
    </row>
    <row r="54" spans="2:14" ht="15.5" x14ac:dyDescent="0.35">
      <c r="B54" s="338">
        <v>44561</v>
      </c>
      <c r="C54" s="364">
        <f>36195+2241</f>
        <v>38436</v>
      </c>
      <c r="D54" s="368">
        <v>45.79</v>
      </c>
      <c r="E54" s="364">
        <f>5623346471/10^6</f>
        <v>5623.3464709999998</v>
      </c>
      <c r="F54" s="364">
        <f>E54*D54</f>
        <v>257493.03490708998</v>
      </c>
      <c r="G54" s="325">
        <v>0.21</v>
      </c>
      <c r="H54" s="294"/>
      <c r="I54" s="294"/>
      <c r="J54" s="294"/>
      <c r="K54" s="294"/>
      <c r="L54" s="294"/>
      <c r="M54" s="294"/>
      <c r="N54" s="294"/>
    </row>
    <row r="55" spans="2:14" ht="15.5" x14ac:dyDescent="0.35">
      <c r="B55" s="294"/>
      <c r="C55" s="364"/>
      <c r="D55" s="368"/>
      <c r="E55" s="364"/>
      <c r="F55" s="364"/>
      <c r="G55" s="325"/>
      <c r="H55" s="294"/>
      <c r="I55" s="294"/>
      <c r="J55" s="294"/>
      <c r="K55" s="294"/>
      <c r="L55" s="294"/>
      <c r="M55" s="294"/>
      <c r="N55" s="294"/>
    </row>
    <row r="56" spans="2:14" ht="14.5" customHeight="1" x14ac:dyDescent="0.35">
      <c r="B56" s="294"/>
      <c r="C56" s="364"/>
      <c r="D56" s="368"/>
      <c r="E56" s="364"/>
      <c r="F56" s="364"/>
      <c r="G56" s="325"/>
    </row>
    <row r="57" spans="2:14" ht="14.5" customHeight="1" x14ac:dyDescent="0.35">
      <c r="B57" s="373" t="s">
        <v>311</v>
      </c>
      <c r="C57" s="375"/>
      <c r="D57" s="376"/>
      <c r="E57" s="375"/>
      <c r="F57" s="375"/>
      <c r="G57" s="430"/>
    </row>
    <row r="58" spans="2:14" ht="15.5" x14ac:dyDescent="0.35">
      <c r="B58" s="338">
        <v>45291</v>
      </c>
      <c r="C58" s="364">
        <f>1982.9+720</f>
        <v>2702.9</v>
      </c>
      <c r="D58" s="368">
        <v>940.05</v>
      </c>
      <c r="E58" s="364">
        <f>107943750/10^6</f>
        <v>107.94374999999999</v>
      </c>
      <c r="F58" s="364">
        <f>D58*E58</f>
        <v>101472.52218749998</v>
      </c>
      <c r="G58" s="325">
        <v>0.21</v>
      </c>
      <c r="H58" s="294"/>
      <c r="I58" s="294"/>
      <c r="J58" s="294"/>
      <c r="K58" s="294"/>
      <c r="L58" s="294"/>
      <c r="M58" s="294"/>
      <c r="N58" s="294"/>
    </row>
    <row r="59" spans="2:14" ht="15.5" x14ac:dyDescent="0.35">
      <c r="B59" s="338">
        <v>44926</v>
      </c>
      <c r="C59" s="364">
        <f>1981.4+720</f>
        <v>2701.4</v>
      </c>
      <c r="D59" s="368">
        <v>742.83</v>
      </c>
      <c r="E59" s="364">
        <f>107570386/10^6</f>
        <v>107.570386</v>
      </c>
      <c r="F59" s="364">
        <f>D59*E59</f>
        <v>79906.509832380005</v>
      </c>
      <c r="G59" s="325">
        <v>0.21</v>
      </c>
      <c r="H59" s="294"/>
      <c r="I59" s="294"/>
      <c r="J59" s="294"/>
      <c r="K59" s="294"/>
      <c r="L59" s="294"/>
      <c r="M59" s="294"/>
      <c r="N59" s="294"/>
    </row>
    <row r="60" spans="2:14" ht="15.5" x14ac:dyDescent="0.35">
      <c r="B60" s="338">
        <v>44561</v>
      </c>
      <c r="C60" s="364">
        <f>1980</f>
        <v>1980</v>
      </c>
      <c r="D60" s="368">
        <v>608.72</v>
      </c>
      <c r="E60" s="364">
        <f>106715999/10^6</f>
        <v>106.715999</v>
      </c>
      <c r="F60" s="364">
        <f>D60*E60</f>
        <v>64960.16291128</v>
      </c>
      <c r="G60" s="325">
        <v>0.21</v>
      </c>
      <c r="H60" s="294"/>
      <c r="I60" s="294"/>
      <c r="J60" s="294"/>
      <c r="K60" s="294"/>
      <c r="L60" s="294"/>
      <c r="M60" s="294"/>
      <c r="N60" s="294"/>
    </row>
    <row r="61" spans="2:14" ht="15.5" x14ac:dyDescent="0.35">
      <c r="C61" s="363"/>
      <c r="D61" s="367"/>
      <c r="E61" s="363"/>
      <c r="F61" s="365"/>
      <c r="G61" s="428"/>
      <c r="H61" s="294"/>
      <c r="I61" s="294"/>
      <c r="J61" s="294"/>
      <c r="K61" s="294"/>
      <c r="L61" s="294"/>
      <c r="M61" s="294"/>
      <c r="N61" s="294"/>
    </row>
    <row r="62" spans="2:14" x14ac:dyDescent="0.35">
      <c r="C62" s="363"/>
      <c r="D62" s="367"/>
      <c r="E62" s="363"/>
      <c r="F62" s="365"/>
      <c r="G62" s="428"/>
    </row>
    <row r="63" spans="2:14" ht="15.5" x14ac:dyDescent="0.35">
      <c r="B63" s="373" t="s">
        <v>296</v>
      </c>
      <c r="C63" s="375"/>
      <c r="D63" s="376"/>
      <c r="E63" s="375"/>
      <c r="F63" s="375"/>
      <c r="G63" s="430"/>
    </row>
    <row r="64" spans="2:14" ht="15.5" x14ac:dyDescent="0.35">
      <c r="B64" s="338">
        <v>45291</v>
      </c>
      <c r="C64" s="364">
        <v>25881</v>
      </c>
      <c r="D64" s="368">
        <v>155.58000000000001</v>
      </c>
      <c r="E64" s="362">
        <v>2435</v>
      </c>
      <c r="F64" s="364">
        <f>E64*D64</f>
        <v>378837.30000000005</v>
      </c>
      <c r="G64" s="325">
        <v>0.21</v>
      </c>
    </row>
    <row r="65" spans="2:7" ht="15.5" x14ac:dyDescent="0.35">
      <c r="B65" s="338">
        <v>44926</v>
      </c>
      <c r="C65" s="364">
        <f>26888</f>
        <v>26888</v>
      </c>
      <c r="D65" s="368">
        <v>156.19</v>
      </c>
      <c r="E65" s="362">
        <f>2604286303/10^6</f>
        <v>2604.2863029999999</v>
      </c>
      <c r="F65" s="364">
        <f>E65*D65</f>
        <v>406763.47766556998</v>
      </c>
      <c r="G65" s="325">
        <v>0.21</v>
      </c>
    </row>
    <row r="66" spans="2:7" ht="15.5" x14ac:dyDescent="0.35">
      <c r="B66" s="338">
        <v>44561</v>
      </c>
      <c r="C66" s="364">
        <v>29985</v>
      </c>
      <c r="D66" s="368">
        <v>159.01</v>
      </c>
      <c r="E66" s="364">
        <f>2629268158/10^6</f>
        <v>2629.2681579999999</v>
      </c>
      <c r="F66" s="364">
        <f>E66*D66</f>
        <v>418079.92980357993</v>
      </c>
      <c r="G66" s="325">
        <v>0.21</v>
      </c>
    </row>
    <row r="67" spans="2:7" x14ac:dyDescent="0.35">
      <c r="C67" s="52"/>
    </row>
  </sheetData>
  <mergeCells count="6">
    <mergeCell ref="I36:P37"/>
    <mergeCell ref="B1:D4"/>
    <mergeCell ref="D33:F33"/>
    <mergeCell ref="J7:N7"/>
    <mergeCell ref="A3:A4"/>
    <mergeCell ref="A1:A2"/>
  </mergeCells>
  <dataValidations count="2">
    <dataValidation type="list" allowBlank="1" showErrorMessage="1" sqref="G5" xr:uid="{6311D8BF-10F2-4606-9706-EDA6426A244F}">
      <formula1>$A$60:$A$61</formula1>
    </dataValidation>
    <dataValidation type="list" allowBlank="1" showErrorMessage="1" sqref="C7" xr:uid="{1483128D-AA8D-4CB9-9B78-5879E7E3A502}">
      <formula1>$A$27:$A$28</formula1>
    </dataValidation>
  </dataValidations>
  <pageMargins left="0.7" right="0.7" top="0.75" bottom="0.75" header="0.3" footer="0.3"/>
  <legacyDrawing r:id="rId1"/>
  <tableParts count="1">
    <tablePart r:id="rId2"/>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6FD36-6646-4105-AC7B-046D4B0DD82B}">
  <dimension ref="A1:U75"/>
  <sheetViews>
    <sheetView tabSelected="1" zoomScale="59" workbookViewId="0">
      <selection activeCell="F41" sqref="F41:G41"/>
    </sheetView>
  </sheetViews>
  <sheetFormatPr defaultRowHeight="14.5" x14ac:dyDescent="0.35"/>
  <cols>
    <col min="1" max="1" width="8.7265625" style="12"/>
    <col min="2" max="2" width="32.26953125" style="12" customWidth="1"/>
    <col min="3" max="3" width="8.1796875" style="12" customWidth="1"/>
    <col min="4" max="4" width="20.1796875" style="12" customWidth="1"/>
    <col min="5" max="8" width="13.453125" style="12" customWidth="1"/>
    <col min="9" max="9" width="8.7265625" style="12"/>
    <col min="10" max="10" width="15.1796875" style="12" customWidth="1"/>
    <col min="11" max="11" width="10.1796875" style="12" bestFit="1" customWidth="1"/>
    <col min="12" max="12" width="17.6328125" style="12" bestFit="1" customWidth="1"/>
    <col min="13" max="15" width="8.7265625" style="12"/>
    <col min="16" max="24" width="9" style="12" customWidth="1"/>
    <col min="25" max="16384" width="8.7265625" style="12"/>
  </cols>
  <sheetData>
    <row r="1" spans="1:16" ht="21" customHeight="1" x14ac:dyDescent="0.5">
      <c r="A1" s="67" t="s">
        <v>12</v>
      </c>
      <c r="B1" s="67"/>
      <c r="C1" s="509" t="s">
        <v>365</v>
      </c>
      <c r="D1" s="509"/>
      <c r="E1" s="509"/>
    </row>
    <row r="2" spans="1:16" x14ac:dyDescent="0.35">
      <c r="A2" s="69" t="s">
        <v>403</v>
      </c>
      <c r="B2" s="69"/>
      <c r="C2" s="509"/>
      <c r="D2" s="509"/>
      <c r="E2" s="509"/>
    </row>
    <row r="3" spans="1:16" x14ac:dyDescent="0.35">
      <c r="B3" s="384" t="s">
        <v>366</v>
      </c>
      <c r="D3" s="391">
        <v>45406</v>
      </c>
    </row>
    <row r="4" spans="1:16" x14ac:dyDescent="0.35">
      <c r="B4" s="384" t="s">
        <v>367</v>
      </c>
      <c r="D4" s="391">
        <v>45291</v>
      </c>
    </row>
    <row r="5" spans="1:16" x14ac:dyDescent="0.35">
      <c r="B5" s="550" t="s">
        <v>368</v>
      </c>
      <c r="C5" s="551"/>
      <c r="D5" s="546" t="str">
        <f>IF(E5=B68,C68,C69)</f>
        <v>Year End Discounting</v>
      </c>
      <c r="E5" s="548">
        <v>2</v>
      </c>
    </row>
    <row r="6" spans="1:16" x14ac:dyDescent="0.35">
      <c r="B6" s="552"/>
      <c r="C6" s="553"/>
      <c r="D6" s="547"/>
      <c r="E6" s="549"/>
      <c r="F6" s="114"/>
      <c r="G6" s="114"/>
      <c r="H6" s="114"/>
      <c r="I6" s="114"/>
      <c r="J6" s="114"/>
      <c r="K6" s="114"/>
      <c r="L6" s="114"/>
      <c r="M6" s="114"/>
      <c r="N6" s="114"/>
      <c r="O6" s="114"/>
      <c r="P6" s="114"/>
    </row>
    <row r="7" spans="1:16" x14ac:dyDescent="0.35">
      <c r="C7" s="114"/>
      <c r="D7" s="390"/>
      <c r="E7" s="359"/>
      <c r="F7" s="114"/>
      <c r="G7" s="114"/>
      <c r="H7" s="114"/>
      <c r="I7" s="114"/>
      <c r="J7" s="114"/>
      <c r="K7" s="114"/>
      <c r="L7" s="114"/>
      <c r="M7" s="114"/>
      <c r="N7" s="114"/>
      <c r="O7" s="114"/>
      <c r="P7" s="114"/>
    </row>
    <row r="8" spans="1:16" ht="14.5" customHeight="1" x14ac:dyDescent="0.35">
      <c r="D8" s="85" t="s">
        <v>100</v>
      </c>
      <c r="E8" s="85" t="s">
        <v>100</v>
      </c>
      <c r="F8" s="85" t="s">
        <v>100</v>
      </c>
      <c r="G8" s="85" t="s">
        <v>100</v>
      </c>
      <c r="H8" s="85" t="s">
        <v>100</v>
      </c>
      <c r="I8" s="114"/>
      <c r="J8" s="114"/>
      <c r="K8" s="114"/>
      <c r="L8" s="114"/>
      <c r="M8" s="114"/>
      <c r="N8" s="114"/>
      <c r="O8" s="114"/>
      <c r="P8" s="114"/>
    </row>
    <row r="9" spans="1:16" ht="17" customHeight="1" x14ac:dyDescent="0.45">
      <c r="D9" s="86"/>
      <c r="E9" s="86"/>
      <c r="F9" s="86"/>
      <c r="G9" s="86"/>
      <c r="H9" s="86"/>
      <c r="I9" s="114"/>
      <c r="J9" s="460" t="s">
        <v>396</v>
      </c>
      <c r="K9" s="426">
        <v>273</v>
      </c>
      <c r="L9" s="540" t="str" cm="1">
        <f t="array" ref="L9">_xlfn.IFS(M9=B71,C71,M9=B72,C72,M9=B73,C73)</f>
        <v>Average</v>
      </c>
      <c r="M9" s="541">
        <v>3</v>
      </c>
      <c r="N9" s="114"/>
      <c r="O9" s="114"/>
      <c r="P9" s="114"/>
    </row>
    <row r="10" spans="1:16" ht="17" x14ac:dyDescent="0.4">
      <c r="D10" s="464">
        <v>45657</v>
      </c>
      <c r="E10" s="464">
        <v>46022</v>
      </c>
      <c r="F10" s="464">
        <v>46387</v>
      </c>
      <c r="G10" s="464">
        <v>46752</v>
      </c>
      <c r="H10" s="464">
        <v>47118</v>
      </c>
      <c r="I10" s="114"/>
      <c r="J10" s="457" t="s">
        <v>397</v>
      </c>
      <c r="K10" s="413">
        <f ca="1">K11/K9-1</f>
        <v>0.16596238599108903</v>
      </c>
      <c r="L10" s="540"/>
      <c r="M10" s="541"/>
      <c r="N10" s="114"/>
      <c r="O10" s="114"/>
      <c r="P10" s="114"/>
    </row>
    <row r="11" spans="1:16" ht="18.5" x14ac:dyDescent="0.45">
      <c r="D11" s="2"/>
      <c r="E11" s="2"/>
      <c r="F11" s="2"/>
      <c r="G11" s="2"/>
      <c r="H11" s="2"/>
      <c r="I11" s="114"/>
      <c r="J11" s="458" t="s">
        <v>416</v>
      </c>
      <c r="K11" s="459">
        <f ca="1">CHOOSE(M9,F48,F63,AVERAGE(F48,F63))</f>
        <v>318.3077313755673</v>
      </c>
      <c r="L11" s="114"/>
      <c r="M11" s="114"/>
      <c r="N11" s="114"/>
      <c r="O11" s="114"/>
      <c r="P11" s="114"/>
    </row>
    <row r="12" spans="1:16" x14ac:dyDescent="0.35">
      <c r="D12" s="87" t="s">
        <v>106</v>
      </c>
      <c r="E12" s="87" t="s">
        <v>107</v>
      </c>
      <c r="F12" s="87" t="s">
        <v>108</v>
      </c>
      <c r="G12" s="87" t="s">
        <v>109</v>
      </c>
      <c r="H12" s="87" t="s">
        <v>110</v>
      </c>
      <c r="I12" s="114"/>
      <c r="J12" s="114"/>
      <c r="K12" s="114"/>
      <c r="L12" s="114"/>
      <c r="M12" s="114"/>
      <c r="N12" s="114"/>
      <c r="O12" s="114"/>
      <c r="P12" s="114"/>
    </row>
    <row r="13" spans="1:16" x14ac:dyDescent="0.35">
      <c r="H13" s="114"/>
      <c r="I13" s="114"/>
      <c r="J13" s="114"/>
      <c r="K13" s="114"/>
      <c r="L13" s="114"/>
      <c r="M13" s="393"/>
      <c r="N13" s="114"/>
      <c r="O13" s="114"/>
      <c r="P13" s="114"/>
    </row>
    <row r="14" spans="1:16" x14ac:dyDescent="0.35">
      <c r="B14" s="12" t="s">
        <v>313</v>
      </c>
      <c r="D14" s="114">
        <f>IS!L50</f>
        <v>14494.669526247697</v>
      </c>
      <c r="E14" s="114">
        <f>IS!M50</f>
        <v>15492.592924648488</v>
      </c>
      <c r="F14" s="114">
        <f>IS!N50</f>
        <v>16521.008132467134</v>
      </c>
      <c r="G14" s="114">
        <f>IS!O50</f>
        <v>17379.681289726679</v>
      </c>
      <c r="H14" s="114">
        <f>IS!P50</f>
        <v>18339.902794742582</v>
      </c>
      <c r="I14" s="114"/>
      <c r="J14" s="114"/>
      <c r="K14" s="114"/>
      <c r="L14" s="114"/>
      <c r="M14" s="393"/>
      <c r="N14" s="114"/>
      <c r="O14" s="114"/>
      <c r="P14" s="114"/>
    </row>
    <row r="15" spans="1:16" ht="15" thickBot="1" x14ac:dyDescent="0.4">
      <c r="B15" s="33" t="s">
        <v>394</v>
      </c>
      <c r="C15" s="33"/>
      <c r="D15" s="405">
        <f>WACC!H10</f>
        <v>0.21</v>
      </c>
      <c r="E15" s="405">
        <f>D15</f>
        <v>0.21</v>
      </c>
      <c r="F15" s="405">
        <f t="shared" ref="F15:H15" si="0">E15</f>
        <v>0.21</v>
      </c>
      <c r="G15" s="405">
        <f t="shared" si="0"/>
        <v>0.21</v>
      </c>
      <c r="H15" s="405">
        <f t="shared" si="0"/>
        <v>0.21</v>
      </c>
      <c r="I15" s="114"/>
      <c r="J15" s="114"/>
      <c r="K15" s="114"/>
      <c r="L15" s="114"/>
      <c r="M15" s="393"/>
      <c r="N15" s="114"/>
      <c r="O15" s="114"/>
      <c r="P15" s="114"/>
    </row>
    <row r="16" spans="1:16" s="48" customFormat="1" ht="15" thickBot="1" x14ac:dyDescent="0.4">
      <c r="B16" s="385" t="s">
        <v>314</v>
      </c>
      <c r="C16" s="385"/>
      <c r="D16" s="386">
        <f>D14*(1-D15)</f>
        <v>11450.788925735682</v>
      </c>
      <c r="E16" s="386">
        <f t="shared" ref="E16:H16" si="1">E14*(1-E15)</f>
        <v>12239.148410472306</v>
      </c>
      <c r="F16" s="386">
        <f t="shared" si="1"/>
        <v>13051.596424649037</v>
      </c>
      <c r="G16" s="386">
        <f t="shared" si="1"/>
        <v>13729.948218884078</v>
      </c>
      <c r="H16" s="386">
        <f t="shared" si="1"/>
        <v>14488.52320784664</v>
      </c>
      <c r="I16" s="164"/>
      <c r="J16" s="164"/>
      <c r="K16" s="164"/>
      <c r="L16" s="164"/>
      <c r="M16" s="164"/>
      <c r="N16" s="164"/>
      <c r="O16" s="164"/>
      <c r="P16" s="164"/>
    </row>
    <row r="17" spans="1:16" x14ac:dyDescent="0.35">
      <c r="D17" s="114"/>
      <c r="E17" s="114"/>
      <c r="F17" s="114"/>
      <c r="G17" s="114"/>
      <c r="H17" s="114"/>
      <c r="I17" s="114"/>
      <c r="J17" s="114"/>
      <c r="K17" s="114"/>
      <c r="L17" s="114"/>
      <c r="M17" s="114"/>
      <c r="N17" s="114"/>
      <c r="O17" s="114"/>
      <c r="P17" s="114"/>
    </row>
    <row r="18" spans="1:16" x14ac:dyDescent="0.35">
      <c r="B18" s="12" t="s">
        <v>393</v>
      </c>
      <c r="D18" s="114">
        <f>CFS!F10</f>
        <v>5310.526316548342</v>
      </c>
      <c r="E18" s="114">
        <f>CFS!G10</f>
        <v>5062.8815918235587</v>
      </c>
      <c r="F18" s="114">
        <f>CFS!H10</f>
        <v>4520.6059827746831</v>
      </c>
      <c r="G18" s="114">
        <f>CFS!I10</f>
        <v>4584.2501006436551</v>
      </c>
      <c r="H18" s="114">
        <f>CFS!J10</f>
        <v>3654.4210227197177</v>
      </c>
      <c r="I18" s="114"/>
      <c r="J18" s="114"/>
      <c r="K18" s="114"/>
      <c r="L18" s="114"/>
      <c r="M18" s="114"/>
      <c r="N18" s="114"/>
      <c r="O18" s="114"/>
      <c r="P18" s="114"/>
    </row>
    <row r="19" spans="1:16" x14ac:dyDescent="0.35">
      <c r="B19" s="12" t="s">
        <v>315</v>
      </c>
      <c r="D19" s="114">
        <f>CFS!F22</f>
        <v>-4383.8851937655099</v>
      </c>
      <c r="E19" s="114">
        <f>CFS!G22</f>
        <v>-4345.1309234201108</v>
      </c>
      <c r="F19" s="114">
        <f>CFS!H22</f>
        <v>-4332.7942374399317</v>
      </c>
      <c r="G19" s="114">
        <f>CFS!I22</f>
        <v>-4379.5469430405619</v>
      </c>
      <c r="H19" s="114">
        <f>CFS!J22</f>
        <v>-4431.3311097086162</v>
      </c>
      <c r="I19" s="114"/>
      <c r="J19" s="114"/>
      <c r="K19" s="114"/>
      <c r="L19" s="114"/>
      <c r="M19" s="114"/>
      <c r="N19" s="114"/>
      <c r="O19" s="114"/>
      <c r="P19" s="114"/>
    </row>
    <row r="20" spans="1:16" x14ac:dyDescent="0.35">
      <c r="B20" s="12" t="s">
        <v>419</v>
      </c>
      <c r="D20" s="114">
        <f>SUM(CFS!F14:F17)</f>
        <v>970.71377637687874</v>
      </c>
      <c r="E20" s="114">
        <f>SUM(CFS!G14:G17)</f>
        <v>-482.30936144256475</v>
      </c>
      <c r="F20" s="114">
        <f>SUM(CFS!H14:H17)</f>
        <v>-458.92655373467824</v>
      </c>
      <c r="G20" s="114">
        <f>SUM(CFS!I14:I17)</f>
        <v>-235.88553657986495</v>
      </c>
      <c r="H20" s="114">
        <f>SUM(CFS!J14:J17)</f>
        <v>-295.79114912731893</v>
      </c>
      <c r="I20" s="114"/>
      <c r="J20" s="114"/>
      <c r="K20" s="114"/>
      <c r="L20" s="114"/>
      <c r="M20" s="114"/>
      <c r="N20" s="114"/>
      <c r="O20" s="114"/>
      <c r="P20" s="114"/>
    </row>
    <row r="21" spans="1:16" ht="15" thickBot="1" x14ac:dyDescent="0.4">
      <c r="B21" s="33"/>
      <c r="C21" s="33"/>
      <c r="D21" s="387"/>
      <c r="E21" s="387"/>
      <c r="F21" s="387"/>
      <c r="G21" s="387"/>
      <c r="H21" s="387"/>
      <c r="I21" s="114"/>
      <c r="J21" s="114"/>
      <c r="K21" s="114"/>
      <c r="L21" s="114"/>
      <c r="M21" s="114"/>
      <c r="N21" s="114"/>
      <c r="O21" s="114"/>
      <c r="P21" s="114"/>
    </row>
    <row r="22" spans="1:16" ht="15" thickBot="1" x14ac:dyDescent="0.4">
      <c r="B22" s="385" t="s">
        <v>316</v>
      </c>
      <c r="C22" s="385"/>
      <c r="D22" s="386">
        <f>SUM(D16:D21)</f>
        <v>13348.143824895395</v>
      </c>
      <c r="E22" s="386">
        <f t="shared" ref="E22:H22" si="2">SUM(E16:E21)</f>
        <v>12474.589717433189</v>
      </c>
      <c r="F22" s="386">
        <f t="shared" si="2"/>
        <v>12780.48161624911</v>
      </c>
      <c r="G22" s="386">
        <f t="shared" si="2"/>
        <v>13698.765839907306</v>
      </c>
      <c r="H22" s="386">
        <f t="shared" si="2"/>
        <v>13415.821971730424</v>
      </c>
      <c r="I22" s="114"/>
      <c r="J22" s="114"/>
      <c r="K22" s="114"/>
      <c r="L22" s="114"/>
      <c r="M22" s="114"/>
      <c r="N22" s="114"/>
      <c r="O22" s="114"/>
      <c r="P22" s="114"/>
    </row>
    <row r="23" spans="1:16" x14ac:dyDescent="0.35">
      <c r="C23" s="114"/>
      <c r="D23" s="52"/>
      <c r="E23" s="52"/>
      <c r="F23" s="52"/>
      <c r="G23" s="52"/>
      <c r="I23" s="114"/>
      <c r="J23" s="114"/>
      <c r="K23" s="46"/>
      <c r="L23" s="189"/>
      <c r="M23" s="114"/>
      <c r="N23" s="114"/>
      <c r="O23" s="114"/>
      <c r="P23" s="114"/>
    </row>
    <row r="24" spans="1:16" x14ac:dyDescent="0.35">
      <c r="A24" s="388">
        <f>WACC!N11</f>
        <v>7.2404367485555218E-2</v>
      </c>
      <c r="B24" s="12" t="s">
        <v>369</v>
      </c>
      <c r="C24" s="114"/>
      <c r="D24" s="52"/>
      <c r="E24" s="52"/>
      <c r="F24" s="52"/>
      <c r="G24" s="52"/>
      <c r="H24" s="52"/>
      <c r="I24" s="114"/>
      <c r="J24" s="114"/>
      <c r="K24" s="46"/>
      <c r="L24" s="189"/>
      <c r="M24" s="114"/>
      <c r="N24" s="114"/>
      <c r="O24" s="114"/>
      <c r="P24" s="114"/>
    </row>
    <row r="25" spans="1:16" x14ac:dyDescent="0.35">
      <c r="B25" s="12" t="s">
        <v>370</v>
      </c>
      <c r="C25" s="114"/>
      <c r="D25" s="52">
        <f>9/12</f>
        <v>0.75</v>
      </c>
      <c r="E25" s="189">
        <f>12/12</f>
        <v>1</v>
      </c>
      <c r="F25" s="189">
        <f t="shared" ref="F25:H25" si="3">12/12</f>
        <v>1</v>
      </c>
      <c r="G25" s="189">
        <f t="shared" si="3"/>
        <v>1</v>
      </c>
      <c r="H25" s="189">
        <f t="shared" si="3"/>
        <v>1</v>
      </c>
      <c r="I25" s="114"/>
      <c r="J25" s="114"/>
      <c r="K25" s="46"/>
      <c r="L25" s="189"/>
      <c r="M25" s="114"/>
      <c r="N25" s="114"/>
      <c r="O25" s="114"/>
      <c r="P25" s="114"/>
    </row>
    <row r="26" spans="1:16" x14ac:dyDescent="0.35">
      <c r="B26" s="12" t="s">
        <v>373</v>
      </c>
      <c r="C26" s="114"/>
      <c r="D26" s="52">
        <f>9/12</f>
        <v>0.75</v>
      </c>
      <c r="E26" s="189">
        <f>D26+1</f>
        <v>1.75</v>
      </c>
      <c r="F26" s="189">
        <f t="shared" ref="F26:H26" si="4">E26+1</f>
        <v>2.75</v>
      </c>
      <c r="G26" s="189">
        <f t="shared" si="4"/>
        <v>3.75</v>
      </c>
      <c r="H26" s="189">
        <f t="shared" si="4"/>
        <v>4.75</v>
      </c>
      <c r="I26" s="114"/>
      <c r="J26" s="114"/>
      <c r="K26" s="46"/>
      <c r="L26" s="189"/>
      <c r="M26" s="114"/>
      <c r="N26" s="114"/>
      <c r="O26" s="114"/>
      <c r="P26" s="114"/>
    </row>
    <row r="27" spans="1:16" x14ac:dyDescent="0.35">
      <c r="B27" s="12" t="s">
        <v>374</v>
      </c>
      <c r="C27" s="114"/>
      <c r="D27" s="392">
        <f>D26/2</f>
        <v>0.375</v>
      </c>
      <c r="E27" s="392">
        <f>D26+E25/2</f>
        <v>1.25</v>
      </c>
      <c r="F27" s="392">
        <f>E26+0.5</f>
        <v>2.25</v>
      </c>
      <c r="G27" s="392">
        <f t="shared" ref="G27:H27" si="5">F27+1</f>
        <v>3.25</v>
      </c>
      <c r="H27" s="392">
        <f t="shared" si="5"/>
        <v>4.25</v>
      </c>
      <c r="I27" s="114"/>
      <c r="J27" s="114"/>
      <c r="K27" s="114"/>
      <c r="L27" s="114"/>
      <c r="M27" s="46"/>
      <c r="N27" s="114"/>
      <c r="O27" s="114"/>
      <c r="P27" s="114"/>
    </row>
    <row r="28" spans="1:16" x14ac:dyDescent="0.35">
      <c r="B28" s="12" t="s">
        <v>371</v>
      </c>
      <c r="C28" s="114"/>
      <c r="D28" s="392">
        <f>1/(1+$A$24)^D26</f>
        <v>0.94892321038108007</v>
      </c>
      <c r="E28" s="392">
        <f>1/(1+$A$24)^E26</f>
        <v>0.88485578682041477</v>
      </c>
      <c r="F28" s="392">
        <f t="shared" ref="F28" si="6">1/(1+$A$24)^F26</f>
        <v>0.82511393430364155</v>
      </c>
      <c r="G28" s="392">
        <f>1/(1+$A$24)^G26</f>
        <v>0.76940560792219581</v>
      </c>
      <c r="H28" s="392">
        <f>1/(1+$A$24)^H26</f>
        <v>0.7174584804481966</v>
      </c>
      <c r="I28" s="114"/>
      <c r="J28" s="114"/>
      <c r="K28" s="114"/>
      <c r="L28" s="114"/>
      <c r="M28" s="114"/>
      <c r="N28" s="114"/>
      <c r="O28" s="114"/>
      <c r="P28" s="114"/>
    </row>
    <row r="29" spans="1:16" x14ac:dyDescent="0.35">
      <c r="B29" s="12" t="s">
        <v>372</v>
      </c>
      <c r="D29" s="392">
        <f>1/(1+$A$24)^D27</f>
        <v>0.97412689644680284</v>
      </c>
      <c r="E29" s="392">
        <f t="shared" ref="E29:H29" si="7">1/(1+$A$24)^E27</f>
        <v>0.91632974084327568</v>
      </c>
      <c r="F29" s="392">
        <f t="shared" si="7"/>
        <v>0.85446289536453046</v>
      </c>
      <c r="G29" s="392">
        <f t="shared" si="7"/>
        <v>0.79677304687593953</v>
      </c>
      <c r="H29" s="392">
        <f t="shared" si="7"/>
        <v>0.74297818158286422</v>
      </c>
    </row>
    <row r="30" spans="1:16" x14ac:dyDescent="0.35">
      <c r="B30" s="394" t="s">
        <v>375</v>
      </c>
      <c r="C30" s="394"/>
      <c r="D30" s="395">
        <f>D22*D25*CHOOSE($E$5,D29,D28)</f>
        <v>9499.7726182110964</v>
      </c>
      <c r="E30" s="395">
        <f>E22*E25*CHOOSE($E$5,E29,E28)</f>
        <v>11038.212899681201</v>
      </c>
      <c r="F30" s="395">
        <f t="shared" ref="F30:H30" si="8">F22*F25*CHOOSE($E$5,F29,F28)</f>
        <v>10545.353468678666</v>
      </c>
      <c r="G30" s="395">
        <f t="shared" si="8"/>
        <v>10539.907258837689</v>
      </c>
      <c r="H30" s="395">
        <f t="shared" si="8"/>
        <v>9625.2952458012387</v>
      </c>
    </row>
    <row r="31" spans="1:16" x14ac:dyDescent="0.35">
      <c r="D31" s="52"/>
      <c r="E31" s="52"/>
      <c r="F31" s="52"/>
      <c r="G31" s="52"/>
    </row>
    <row r="32" spans="1:16" x14ac:dyDescent="0.35">
      <c r="D32" s="52"/>
      <c r="E32" s="52"/>
      <c r="F32" s="52"/>
      <c r="G32" s="52"/>
    </row>
    <row r="33" spans="2:21" x14ac:dyDescent="0.35">
      <c r="B33" s="251" t="s">
        <v>376</v>
      </c>
      <c r="C33" s="119"/>
      <c r="D33" s="396">
        <f>SUM(D30:H30)</f>
        <v>51248.541491209886</v>
      </c>
      <c r="E33" s="52"/>
      <c r="F33" s="52"/>
      <c r="G33" s="52"/>
    </row>
    <row r="34" spans="2:21" x14ac:dyDescent="0.35">
      <c r="D34" s="52"/>
      <c r="E34" s="52"/>
      <c r="F34" s="52"/>
      <c r="G34" s="52"/>
    </row>
    <row r="35" spans="2:21" ht="11.5" customHeight="1" thickBot="1" x14ac:dyDescent="0.4">
      <c r="D35" s="52"/>
      <c r="E35" s="52"/>
      <c r="F35" s="52"/>
      <c r="G35" s="52"/>
    </row>
    <row r="36" spans="2:21" x14ac:dyDescent="0.35">
      <c r="B36" s="289" t="s">
        <v>377</v>
      </c>
      <c r="C36" s="289"/>
      <c r="D36" s="291"/>
      <c r="E36" s="291"/>
      <c r="F36" s="544" t="s">
        <v>392</v>
      </c>
      <c r="G36" s="545"/>
      <c r="K36" s="411"/>
      <c r="L36" s="411"/>
      <c r="M36" s="523" t="s">
        <v>335</v>
      </c>
      <c r="N36" s="523"/>
      <c r="O36" s="523"/>
      <c r="P36" s="523"/>
      <c r="Q36" s="523"/>
      <c r="R36" s="523"/>
      <c r="S36" s="523"/>
      <c r="T36" s="523"/>
      <c r="U36" s="523"/>
    </row>
    <row r="37" spans="2:21" x14ac:dyDescent="0.35">
      <c r="B37" s="12" t="s">
        <v>378</v>
      </c>
      <c r="D37" s="52"/>
      <c r="E37" s="52"/>
      <c r="F37" s="526">
        <v>1.4999999999999999E-2</v>
      </c>
      <c r="G37" s="527"/>
      <c r="K37" s="411"/>
      <c r="L37" s="412">
        <f>F48</f>
        <v>321.37322113332993</v>
      </c>
      <c r="M37" s="421">
        <f t="shared" ref="M37:O37" si="9">N37-0.05%</f>
        <v>7.0499999999999993E-2</v>
      </c>
      <c r="N37" s="421">
        <f t="shared" si="9"/>
        <v>7.0999999999999994E-2</v>
      </c>
      <c r="O37" s="421">
        <f t="shared" si="9"/>
        <v>7.1499999999999994E-2</v>
      </c>
      <c r="P37" s="421">
        <f>Q37-0.05%</f>
        <v>7.1999999999999995E-2</v>
      </c>
      <c r="Q37" s="421">
        <v>7.2499999999999995E-2</v>
      </c>
      <c r="R37" s="421">
        <f>Q37+0.05%</f>
        <v>7.2999999999999995E-2</v>
      </c>
      <c r="S37" s="421">
        <f t="shared" ref="S37:U37" si="10">R37+0.05%</f>
        <v>7.3499999999999996E-2</v>
      </c>
      <c r="T37" s="421">
        <f t="shared" si="10"/>
        <v>7.3999999999999996E-2</v>
      </c>
      <c r="U37" s="421">
        <f t="shared" si="10"/>
        <v>7.4499999999999997E-2</v>
      </c>
    </row>
    <row r="38" spans="2:21" ht="14.5" customHeight="1" x14ac:dyDescent="0.35">
      <c r="B38" s="12" t="s">
        <v>377</v>
      </c>
      <c r="D38" s="52"/>
      <c r="E38" s="52"/>
      <c r="F38" s="528">
        <f>(H22*(1+F37))/(A24-F37)</f>
        <v>237212.94907975197</v>
      </c>
      <c r="G38" s="529"/>
      <c r="K38" s="522" t="s">
        <v>398</v>
      </c>
      <c r="L38" s="424">
        <v>1.0999999999999999E-2</v>
      </c>
      <c r="M38" s="409">
        <f t="dataTable" ref="M38:U46" dt2D="1" dtr="1" r1="A24" r2="F37"/>
        <v>312.036213628101</v>
      </c>
      <c r="N38" s="409">
        <v>308.67208806478038</v>
      </c>
      <c r="O38" s="409">
        <v>305.3635841057922</v>
      </c>
      <c r="P38" s="409">
        <v>302.10933399233687</v>
      </c>
      <c r="Q38" s="409">
        <v>298.90801444555359</v>
      </c>
      <c r="R38" s="409">
        <v>295.75834487297209</v>
      </c>
      <c r="S38" s="409">
        <v>292.65908566105884</v>
      </c>
      <c r="T38" s="409">
        <v>289.60903654906832</v>
      </c>
      <c r="U38" s="409">
        <v>286.60703507972266</v>
      </c>
    </row>
    <row r="39" spans="2:21" x14ac:dyDescent="0.35">
      <c r="B39" s="12" t="s">
        <v>379</v>
      </c>
      <c r="D39" s="52"/>
      <c r="E39" s="52"/>
      <c r="F39" s="528">
        <f>F38*CHOOSE(E5,H29,H28)</f>
        <v>170190.44198939428</v>
      </c>
      <c r="G39" s="529"/>
      <c r="K39" s="522"/>
      <c r="L39" s="424">
        <v>1.2E-2</v>
      </c>
      <c r="M39" s="409">
        <v>317.60672880659854</v>
      </c>
      <c r="N39" s="409">
        <v>314.13978500406108</v>
      </c>
      <c r="O39" s="409">
        <v>310.73112317558576</v>
      </c>
      <c r="P39" s="409">
        <v>307.37928626295508</v>
      </c>
      <c r="Q39" s="409">
        <v>304.08286537512629</v>
      </c>
      <c r="R39" s="409">
        <v>300.84049781416445</v>
      </c>
      <c r="S39" s="409">
        <v>297.65086519747553</v>
      </c>
      <c r="T39" s="409">
        <v>294.51269167089742</v>
      </c>
      <c r="U39" s="409">
        <v>291.42474220756446</v>
      </c>
    </row>
    <row r="40" spans="2:21" x14ac:dyDescent="0.35">
      <c r="B40" s="119" t="s">
        <v>380</v>
      </c>
      <c r="C40" s="119"/>
      <c r="D40" s="397"/>
      <c r="E40" s="397"/>
      <c r="F40" s="530">
        <f>F39+D33</f>
        <v>221438.98348060416</v>
      </c>
      <c r="G40" s="531"/>
      <c r="K40" s="522"/>
      <c r="L40" s="424">
        <v>1.2999999999999999E-2</v>
      </c>
      <c r="M40" s="409">
        <v>323.37100103478292</v>
      </c>
      <c r="N40" s="409">
        <v>319.79602321711008</v>
      </c>
      <c r="O40" s="409">
        <v>316.28216785460302</v>
      </c>
      <c r="P40" s="423">
        <v>312.82788098342473</v>
      </c>
      <c r="Q40" s="423">
        <v>309.43166087376039</v>
      </c>
      <c r="R40" s="423">
        <v>306.09205585339652</v>
      </c>
      <c r="S40" s="409">
        <v>302.80766223922825</v>
      </c>
      <c r="T40" s="409">
        <v>299.57712237049134</v>
      </c>
      <c r="U40" s="409">
        <v>296.39912273793772</v>
      </c>
    </row>
    <row r="41" spans="2:21" x14ac:dyDescent="0.35">
      <c r="B41" s="12" t="s">
        <v>418</v>
      </c>
      <c r="D41" s="52"/>
      <c r="E41" s="52"/>
      <c r="F41" s="532">
        <f>3400+494+309+257</f>
        <v>4460</v>
      </c>
      <c r="G41" s="533"/>
      <c r="K41" s="522"/>
      <c r="L41" s="424">
        <v>1.4E-2</v>
      </c>
      <c r="M41" s="409">
        <v>329.33931829759342</v>
      </c>
      <c r="N41" s="409">
        <v>325.65072592886253</v>
      </c>
      <c r="O41" s="409">
        <v>322.02629234854254</v>
      </c>
      <c r="P41" s="423">
        <v>318.46435828046236</v>
      </c>
      <c r="Q41" s="423">
        <v>314.9633211757664</v>
      </c>
      <c r="R41" s="423">
        <v>311.52163280921275</v>
      </c>
      <c r="S41" s="409">
        <v>308.13779699667015</v>
      </c>
      <c r="T41" s="409">
        <v>304.81036742673837</v>
      </c>
      <c r="U41" s="409">
        <v>301.53794559989342</v>
      </c>
    </row>
    <row r="42" spans="2:21" ht="18.5" x14ac:dyDescent="0.45">
      <c r="B42" s="289" t="s">
        <v>381</v>
      </c>
      <c r="C42" s="289"/>
      <c r="D42" s="291"/>
      <c r="E42" s="291"/>
      <c r="F42" s="534">
        <f>F40+F41</f>
        <v>225898.98348060416</v>
      </c>
      <c r="G42" s="535"/>
      <c r="K42" s="522"/>
      <c r="L42" s="424">
        <v>1.4999999999999999E-2</v>
      </c>
      <c r="M42" s="409">
        <v>335.52271005636101</v>
      </c>
      <c r="N42" s="409">
        <v>331.71452516603466</v>
      </c>
      <c r="O42" s="409">
        <v>327.97374868297555</v>
      </c>
      <c r="P42" s="423">
        <v>324.2986067107293</v>
      </c>
      <c r="Q42" s="461">
        <v>320.68738705349443</v>
      </c>
      <c r="R42" s="423">
        <v>317.13843655660878</v>
      </c>
      <c r="S42" s="409">
        <v>313.65015858342628</v>
      </c>
      <c r="T42" s="409">
        <v>310.22101062048523</v>
      </c>
      <c r="U42" s="409">
        <v>306.84950200342763</v>
      </c>
    </row>
    <row r="43" spans="2:21" x14ac:dyDescent="0.35">
      <c r="B43" s="12" t="s">
        <v>382</v>
      </c>
      <c r="D43" s="52"/>
      <c r="E43" s="52"/>
      <c r="F43" s="528">
        <f>BS!J30+BS!J34</f>
        <v>64613</v>
      </c>
      <c r="G43" s="529"/>
      <c r="K43" s="522"/>
      <c r="L43" s="424">
        <v>1.6E-2</v>
      </c>
      <c r="M43" s="409">
        <v>341.93301527416594</v>
      </c>
      <c r="N43" s="409">
        <v>337.99882619364956</v>
      </c>
      <c r="O43" s="409">
        <v>334.13552776819898</v>
      </c>
      <c r="P43" s="423">
        <v>330.34122115636302</v>
      </c>
      <c r="Q43" s="423">
        <v>326.61407473220402</v>
      </c>
      <c r="R43" s="423">
        <v>322.95232113724688</v>
      </c>
      <c r="S43" s="409">
        <v>319.35425448624358</v>
      </c>
      <c r="T43" s="409">
        <v>315.81822771746494</v>
      </c>
      <c r="U43" s="409">
        <v>312.34265007887745</v>
      </c>
    </row>
    <row r="44" spans="2:21" x14ac:dyDescent="0.35">
      <c r="B44" s="12" t="s">
        <v>383</v>
      </c>
      <c r="D44" s="52"/>
      <c r="E44" s="52"/>
      <c r="F44" s="528">
        <f>BS!J10</f>
        <v>10944</v>
      </c>
      <c r="G44" s="529"/>
      <c r="K44" s="522"/>
      <c r="L44" s="424">
        <v>1.7000000000000001E-2</v>
      </c>
      <c r="M44" s="409">
        <v>348.58295807020642</v>
      </c>
      <c r="N44" s="409">
        <v>344.51587911117599</v>
      </c>
      <c r="O44" s="409">
        <v>340.52342718682496</v>
      </c>
      <c r="P44" s="423">
        <v>336.60356703638325</v>
      </c>
      <c r="Q44" s="423">
        <v>332.75433674167795</v>
      </c>
      <c r="R44" s="423">
        <v>328.97384445290771</v>
      </c>
      <c r="S44" s="409">
        <v>325.26026528827555</v>
      </c>
      <c r="T44" s="409">
        <v>321.61183839679467</v>
      </c>
      <c r="U44" s="409">
        <v>318.02686417434285</v>
      </c>
    </row>
    <row r="45" spans="2:21" x14ac:dyDescent="0.35">
      <c r="B45" s="12" t="s">
        <v>384</v>
      </c>
      <c r="D45" s="52"/>
      <c r="E45" s="52"/>
      <c r="F45" s="528">
        <v>0</v>
      </c>
      <c r="G45" s="529"/>
      <c r="K45" s="522"/>
      <c r="L45" s="424">
        <v>1.7999999999999999E-2</v>
      </c>
      <c r="M45" s="409">
        <v>355.48623202038203</v>
      </c>
      <c r="N45" s="409">
        <v>351.27885855389223</v>
      </c>
      <c r="O45" s="409">
        <v>347.15012658371751</v>
      </c>
      <c r="P45" s="409">
        <v>343.09785165270068</v>
      </c>
      <c r="Q45" s="409">
        <v>339.1199294670958</v>
      </c>
      <c r="R45" s="409">
        <v>335.21433225277445</v>
      </c>
      <c r="S45" s="409">
        <v>331.37910530839883</v>
      </c>
      <c r="T45" s="409">
        <v>327.61236374324329</v>
      </c>
      <c r="U45" s="409">
        <v>323.91228938823195</v>
      </c>
    </row>
    <row r="46" spans="2:21" x14ac:dyDescent="0.35">
      <c r="B46" s="48" t="s">
        <v>385</v>
      </c>
      <c r="C46" s="48"/>
      <c r="D46" s="109"/>
      <c r="E46" s="109"/>
      <c r="F46" s="524">
        <f>F42-F43+F44-F45</f>
        <v>172229.98348060416</v>
      </c>
      <c r="G46" s="525"/>
      <c r="K46" s="522"/>
      <c r="L46" s="424">
        <v>1.9E-2</v>
      </c>
      <c r="M46" s="409">
        <v>362.65759427930209</v>
      </c>
      <c r="N46" s="409">
        <v>358.30195259055898</v>
      </c>
      <c r="O46" s="409">
        <v>354.02927167192013</v>
      </c>
      <c r="P46" s="409">
        <v>349.83720361303</v>
      </c>
      <c r="Q46" s="409">
        <v>345.72348827570681</v>
      </c>
      <c r="R46" s="409">
        <v>341.68594923041394</v>
      </c>
      <c r="S46" s="409">
        <v>337.72248991641652</v>
      </c>
      <c r="T46" s="409">
        <v>333.83109001138098</v>
      </c>
      <c r="U46" s="409">
        <v>330.00980199721613</v>
      </c>
    </row>
    <row r="47" spans="2:21" ht="15" thickBot="1" x14ac:dyDescent="0.4">
      <c r="B47" s="12" t="s">
        <v>395</v>
      </c>
      <c r="D47" s="52"/>
      <c r="E47" s="52"/>
      <c r="F47" s="536">
        <f>WACC!E36</f>
        <v>535.91890100000001</v>
      </c>
      <c r="G47" s="537"/>
    </row>
    <row r="48" spans="2:21" ht="15" thickBot="1" x14ac:dyDescent="0.4">
      <c r="B48" s="398" t="s">
        <v>386</v>
      </c>
      <c r="C48" s="399"/>
      <c r="D48" s="400"/>
      <c r="E48" s="400"/>
      <c r="F48" s="538">
        <f>F46/F47</f>
        <v>321.37322113332993</v>
      </c>
      <c r="G48" s="539"/>
    </row>
    <row r="49" spans="2:21" ht="15" thickBot="1" x14ac:dyDescent="0.4">
      <c r="D49" s="52"/>
      <c r="E49" s="52"/>
      <c r="F49" s="52"/>
      <c r="G49" s="52"/>
    </row>
    <row r="50" spans="2:21" ht="14.5" customHeight="1" x14ac:dyDescent="0.35">
      <c r="B50" s="289" t="s">
        <v>377</v>
      </c>
      <c r="C50" s="289"/>
      <c r="D50" s="291"/>
      <c r="E50" s="291"/>
      <c r="F50" s="544" t="s">
        <v>399</v>
      </c>
      <c r="G50" s="545"/>
      <c r="K50" s="411"/>
      <c r="L50" s="411"/>
      <c r="M50" s="523" t="s">
        <v>335</v>
      </c>
      <c r="N50" s="523"/>
      <c r="O50" s="523"/>
      <c r="P50" s="523"/>
      <c r="Q50" s="523"/>
      <c r="R50" s="523"/>
      <c r="S50" s="523"/>
      <c r="T50" s="523"/>
      <c r="U50" s="523"/>
    </row>
    <row r="51" spans="2:21" ht="17.5" customHeight="1" x14ac:dyDescent="0.35">
      <c r="B51" s="12" t="s">
        <v>387</v>
      </c>
      <c r="D51" s="52"/>
      <c r="E51" s="52"/>
      <c r="F51" s="542">
        <f ca="1">[1]Output!$H$20</f>
        <v>12.822246346237939</v>
      </c>
      <c r="G51" s="543"/>
      <c r="K51" s="411"/>
      <c r="L51" s="412">
        <f ca="1">F63</f>
        <v>315.24224161780461</v>
      </c>
      <c r="M51" s="421">
        <f t="shared" ref="M51:O51" si="11">N51-0.05%</f>
        <v>7.0499999999999993E-2</v>
      </c>
      <c r="N51" s="421">
        <f t="shared" si="11"/>
        <v>7.0999999999999994E-2</v>
      </c>
      <c r="O51" s="421">
        <f t="shared" si="11"/>
        <v>7.1499999999999994E-2</v>
      </c>
      <c r="P51" s="421">
        <f>Q51-0.05%</f>
        <v>7.1999999999999995E-2</v>
      </c>
      <c r="Q51" s="421">
        <v>7.2499999999999995E-2</v>
      </c>
      <c r="R51" s="421">
        <f>Q51+0.05%</f>
        <v>7.2999999999999995E-2</v>
      </c>
      <c r="S51" s="421">
        <f t="shared" ref="S51:U51" si="12">R51+0.05%</f>
        <v>7.3499999999999996E-2</v>
      </c>
      <c r="T51" s="421">
        <f t="shared" si="12"/>
        <v>7.3999999999999996E-2</v>
      </c>
      <c r="U51" s="421">
        <f t="shared" si="12"/>
        <v>7.4499999999999997E-2</v>
      </c>
    </row>
    <row r="52" spans="2:21" ht="16.5" customHeight="1" x14ac:dyDescent="0.35">
      <c r="B52" s="12" t="s">
        <v>388</v>
      </c>
      <c r="D52" s="52"/>
      <c r="E52" s="52"/>
      <c r="F52" s="528">
        <f>H16+H18</f>
        <v>18142.944230566358</v>
      </c>
      <c r="G52" s="529"/>
      <c r="K52" s="521" t="s">
        <v>399</v>
      </c>
      <c r="L52" s="425">
        <f t="shared" ref="L52:L54" si="13">L53-0.3</f>
        <v>11.619999999999997</v>
      </c>
      <c r="M52" s="410">
        <f t="dataTable" ref="M52:U60" dt2D="1" dtr="1" r1="A24" r2="F51"/>
        <v>286.53582278649856</v>
      </c>
      <c r="N52" s="410">
        <v>285.78720143820954</v>
      </c>
      <c r="O52" s="410">
        <v>285.04051205042049</v>
      </c>
      <c r="P52" s="410">
        <v>284.2957486627497</v>
      </c>
      <c r="Q52" s="410">
        <v>283.55290533608166</v>
      </c>
      <c r="R52" s="410">
        <v>282.81197615247771</v>
      </c>
      <c r="S52" s="410">
        <v>282.07295521509246</v>
      </c>
      <c r="T52" s="410">
        <v>281.33583664808759</v>
      </c>
      <c r="U52" s="410">
        <v>280.60061459654906</v>
      </c>
    </row>
    <row r="53" spans="2:21" x14ac:dyDescent="0.35">
      <c r="B53" s="12" t="s">
        <v>377</v>
      </c>
      <c r="D53" s="52"/>
      <c r="E53" s="52"/>
      <c r="F53" s="528">
        <f ca="1">F52*F51</f>
        <v>232633.30037037819</v>
      </c>
      <c r="G53" s="529"/>
      <c r="K53" s="521"/>
      <c r="L53" s="425">
        <f t="shared" si="13"/>
        <v>11.919999999999998</v>
      </c>
      <c r="M53" s="410">
        <v>293.82199909074586</v>
      </c>
      <c r="N53" s="410">
        <v>293.05723439272811</v>
      </c>
      <c r="O53" s="410">
        <v>292.29444493242613</v>
      </c>
      <c r="P53" s="410">
        <v>291.53362461332694</v>
      </c>
      <c r="Q53" s="410">
        <v>290.77476736067473</v>
      </c>
      <c r="R53" s="410">
        <v>290.01786712138039</v>
      </c>
      <c r="S53" s="410">
        <v>289.26291786393534</v>
      </c>
      <c r="T53" s="410">
        <v>288.50991357832362</v>
      </c>
      <c r="U53" s="410">
        <v>287.75884827593683</v>
      </c>
    </row>
    <row r="54" spans="2:21" x14ac:dyDescent="0.35">
      <c r="B54" s="12" t="s">
        <v>379</v>
      </c>
      <c r="D54" s="52"/>
      <c r="E54" s="52"/>
      <c r="F54" s="528">
        <f ca="1">F53*CHOOSE(E5,H29,H28)</f>
        <v>166904.73418538042</v>
      </c>
      <c r="G54" s="529"/>
      <c r="K54" s="521"/>
      <c r="L54" s="425">
        <f t="shared" si="13"/>
        <v>12.219999999999999</v>
      </c>
      <c r="M54" s="410">
        <v>301.10817539499328</v>
      </c>
      <c r="N54" s="410">
        <v>300.32726734724685</v>
      </c>
      <c r="O54" s="410">
        <v>299.54837781443189</v>
      </c>
      <c r="P54" s="422">
        <v>298.77150056390411</v>
      </c>
      <c r="Q54" s="422">
        <v>297.99662938526779</v>
      </c>
      <c r="R54" s="422">
        <v>297.22375809028307</v>
      </c>
      <c r="S54" s="410">
        <v>296.45288051277834</v>
      </c>
      <c r="T54" s="410">
        <v>295.6839905085597</v>
      </c>
      <c r="U54" s="410">
        <v>294.91708195532465</v>
      </c>
    </row>
    <row r="55" spans="2:21" x14ac:dyDescent="0.35">
      <c r="B55" s="119" t="s">
        <v>380</v>
      </c>
      <c r="C55" s="119"/>
      <c r="D55" s="397"/>
      <c r="E55" s="397"/>
      <c r="F55" s="530">
        <f ca="1">F54+D33</f>
        <v>218153.2756765903</v>
      </c>
      <c r="G55" s="531"/>
      <c r="K55" s="521"/>
      <c r="L55" s="425">
        <f>L56-0.3</f>
        <v>12.52</v>
      </c>
      <c r="M55" s="410">
        <v>308.39435169924059</v>
      </c>
      <c r="N55" s="410">
        <v>307.5973003017653</v>
      </c>
      <c r="O55" s="410">
        <v>306.80231069643753</v>
      </c>
      <c r="P55" s="422">
        <v>306.00937651448118</v>
      </c>
      <c r="Q55" s="422">
        <v>305.2184914098608</v>
      </c>
      <c r="R55" s="422">
        <v>304.42964905918575</v>
      </c>
      <c r="S55" s="410">
        <v>303.64284316162127</v>
      </c>
      <c r="T55" s="410">
        <v>302.85806743879573</v>
      </c>
      <c r="U55" s="410">
        <v>302.07531563471241</v>
      </c>
    </row>
    <row r="56" spans="2:21" ht="18.5" x14ac:dyDescent="0.45">
      <c r="B56" s="12" t="s">
        <v>422</v>
      </c>
      <c r="D56" s="52"/>
      <c r="E56" s="52"/>
      <c r="F56" s="528">
        <f>F41</f>
        <v>4460</v>
      </c>
      <c r="G56" s="529"/>
      <c r="K56" s="521"/>
      <c r="L56" s="425">
        <v>12.82</v>
      </c>
      <c r="M56" s="410">
        <v>315.68052800348801</v>
      </c>
      <c r="N56" s="410">
        <v>314.86733325628404</v>
      </c>
      <c r="O56" s="410">
        <v>314.05624357844323</v>
      </c>
      <c r="P56" s="422">
        <v>313.24725246505847</v>
      </c>
      <c r="Q56" s="462">
        <v>312.44035343445387</v>
      </c>
      <c r="R56" s="422">
        <v>311.63554002808854</v>
      </c>
      <c r="S56" s="410">
        <v>310.83280581046427</v>
      </c>
      <c r="T56" s="410">
        <v>310.03214436903181</v>
      </c>
      <c r="U56" s="410">
        <v>309.23354931410023</v>
      </c>
    </row>
    <row r="57" spans="2:21" x14ac:dyDescent="0.35">
      <c r="B57" s="289" t="s">
        <v>381</v>
      </c>
      <c r="C57" s="289"/>
      <c r="D57" s="291"/>
      <c r="E57" s="291"/>
      <c r="F57" s="534">
        <f ca="1">F56+F55</f>
        <v>222613.2756765903</v>
      </c>
      <c r="G57" s="535"/>
      <c r="K57" s="521"/>
      <c r="L57" s="425">
        <f>L56+0.3</f>
        <v>13.120000000000001</v>
      </c>
      <c r="M57" s="410">
        <v>322.96670430773531</v>
      </c>
      <c r="N57" s="410">
        <v>322.13736621080261</v>
      </c>
      <c r="O57" s="410">
        <v>321.31017646044887</v>
      </c>
      <c r="P57" s="422">
        <v>320.48512841563553</v>
      </c>
      <c r="Q57" s="422">
        <v>319.66221545904688</v>
      </c>
      <c r="R57" s="422">
        <v>318.84143099699116</v>
      </c>
      <c r="S57" s="410">
        <v>318.02276845930714</v>
      </c>
      <c r="T57" s="410">
        <v>317.2062212992679</v>
      </c>
      <c r="U57" s="410">
        <v>316.39178299348799</v>
      </c>
    </row>
    <row r="58" spans="2:21" x14ac:dyDescent="0.35">
      <c r="B58" s="12" t="s">
        <v>382</v>
      </c>
      <c r="D58" s="52"/>
      <c r="E58" s="52"/>
      <c r="F58" s="532">
        <f>F43</f>
        <v>64613</v>
      </c>
      <c r="G58" s="533"/>
      <c r="K58" s="521"/>
      <c r="L58" s="425">
        <f t="shared" ref="L58:L60" si="14">L57+0.3</f>
        <v>13.420000000000002</v>
      </c>
      <c r="M58" s="410">
        <v>330.25288061198268</v>
      </c>
      <c r="N58" s="410">
        <v>329.40739916532118</v>
      </c>
      <c r="O58" s="410">
        <v>328.56410934245463</v>
      </c>
      <c r="P58" s="422">
        <v>327.72300436621271</v>
      </c>
      <c r="Q58" s="422">
        <v>326.88407748363994</v>
      </c>
      <c r="R58" s="422">
        <v>326.04732196589384</v>
      </c>
      <c r="S58" s="410">
        <v>325.21273110815014</v>
      </c>
      <c r="T58" s="410">
        <v>324.38029822950392</v>
      </c>
      <c r="U58" s="410">
        <v>323.55001667287576</v>
      </c>
    </row>
    <row r="59" spans="2:21" x14ac:dyDescent="0.35">
      <c r="B59" s="12" t="s">
        <v>383</v>
      </c>
      <c r="D59" s="52"/>
      <c r="E59" s="52"/>
      <c r="F59" s="528">
        <f>F44</f>
        <v>10944</v>
      </c>
      <c r="G59" s="529"/>
      <c r="K59" s="521"/>
      <c r="L59" s="425">
        <f t="shared" si="14"/>
        <v>13.720000000000002</v>
      </c>
      <c r="M59" s="410">
        <v>337.53905691622998</v>
      </c>
      <c r="N59" s="410">
        <v>336.67743211983981</v>
      </c>
      <c r="O59" s="410">
        <v>335.81804222446027</v>
      </c>
      <c r="P59" s="410">
        <v>334.96088031678988</v>
      </c>
      <c r="Q59" s="410">
        <v>334.10593950823295</v>
      </c>
      <c r="R59" s="410">
        <v>333.25321293479652</v>
      </c>
      <c r="S59" s="410">
        <v>332.40269375699302</v>
      </c>
      <c r="T59" s="410">
        <v>331.55437515974</v>
      </c>
      <c r="U59" s="410">
        <v>330.70825035226352</v>
      </c>
    </row>
    <row r="60" spans="2:21" x14ac:dyDescent="0.35">
      <c r="B60" s="12" t="s">
        <v>389</v>
      </c>
      <c r="D60" s="52"/>
      <c r="E60" s="52"/>
      <c r="F60" s="528">
        <v>0</v>
      </c>
      <c r="G60" s="529"/>
      <c r="K60" s="521"/>
      <c r="L60" s="425">
        <f t="shared" si="14"/>
        <v>14.020000000000003</v>
      </c>
      <c r="M60" s="410">
        <v>344.8252332204774</v>
      </c>
      <c r="N60" s="410">
        <v>343.94746507435838</v>
      </c>
      <c r="O60" s="410">
        <v>343.07197510646603</v>
      </c>
      <c r="P60" s="410">
        <v>342.19875626736706</v>
      </c>
      <c r="Q60" s="410">
        <v>341.32780153282607</v>
      </c>
      <c r="R60" s="410">
        <v>340.45910390369932</v>
      </c>
      <c r="S60" s="410">
        <v>339.59265640583601</v>
      </c>
      <c r="T60" s="410">
        <v>338.72845208997603</v>
      </c>
      <c r="U60" s="410">
        <v>337.86648403165134</v>
      </c>
    </row>
    <row r="61" spans="2:21" x14ac:dyDescent="0.35">
      <c r="B61" s="48" t="s">
        <v>385</v>
      </c>
      <c r="C61" s="48"/>
      <c r="D61" s="109"/>
      <c r="E61" s="109"/>
      <c r="F61" s="524">
        <f ca="1">F57-F58+F59-F60</f>
        <v>168944.2756765903</v>
      </c>
      <c r="G61" s="525"/>
    </row>
    <row r="62" spans="2:21" ht="15" thickBot="1" x14ac:dyDescent="0.4">
      <c r="B62" s="12" t="s">
        <v>395</v>
      </c>
      <c r="D62" s="52"/>
      <c r="E62" s="52"/>
      <c r="F62" s="536">
        <f>F47</f>
        <v>535.91890100000001</v>
      </c>
      <c r="G62" s="537"/>
    </row>
    <row r="63" spans="2:21" ht="15" thickBot="1" x14ac:dyDescent="0.4">
      <c r="B63" s="398" t="s">
        <v>386</v>
      </c>
      <c r="C63" s="399"/>
      <c r="D63" s="400"/>
      <c r="E63" s="400"/>
      <c r="F63" s="538">
        <f ca="1">F61/F62</f>
        <v>315.24224161780461</v>
      </c>
      <c r="G63" s="539"/>
    </row>
    <row r="64" spans="2:21" x14ac:dyDescent="0.35">
      <c r="D64" s="52"/>
      <c r="E64" s="52"/>
      <c r="F64" s="52"/>
      <c r="G64" s="52"/>
    </row>
    <row r="65" spans="2:7" x14ac:dyDescent="0.35">
      <c r="F65" s="52"/>
      <c r="G65" s="52"/>
    </row>
    <row r="66" spans="2:7" x14ac:dyDescent="0.35">
      <c r="F66" s="52"/>
      <c r="G66" s="52"/>
    </row>
    <row r="67" spans="2:7" x14ac:dyDescent="0.35">
      <c r="D67" s="52"/>
      <c r="E67" s="52"/>
      <c r="F67" s="52"/>
      <c r="G67" s="52"/>
    </row>
    <row r="68" spans="2:7" x14ac:dyDescent="0.35">
      <c r="B68" s="389">
        <v>1</v>
      </c>
      <c r="C68" s="389" t="s">
        <v>390</v>
      </c>
      <c r="D68" s="52"/>
      <c r="E68" s="52"/>
      <c r="F68" s="52"/>
      <c r="G68" s="52"/>
    </row>
    <row r="69" spans="2:7" x14ac:dyDescent="0.35">
      <c r="B69" s="389">
        <v>2</v>
      </c>
      <c r="C69" s="389" t="s">
        <v>391</v>
      </c>
      <c r="D69" s="52"/>
      <c r="E69" s="52"/>
      <c r="F69" s="52"/>
      <c r="G69" s="52"/>
    </row>
    <row r="70" spans="2:7" x14ac:dyDescent="0.35">
      <c r="D70" s="52"/>
      <c r="E70" s="52"/>
      <c r="F70" s="52"/>
      <c r="G70" s="52"/>
    </row>
    <row r="71" spans="2:7" x14ac:dyDescent="0.35">
      <c r="B71" s="389">
        <v>1</v>
      </c>
      <c r="C71" s="389" t="str">
        <f>F36</f>
        <v>Gordon's Growth</v>
      </c>
      <c r="D71" s="52"/>
      <c r="E71" s="52"/>
      <c r="F71" s="52"/>
      <c r="G71" s="52"/>
    </row>
    <row r="72" spans="2:7" x14ac:dyDescent="0.35">
      <c r="B72" s="389">
        <v>2</v>
      </c>
      <c r="C72" s="389" t="str">
        <f>F50</f>
        <v>Exit Multiple</v>
      </c>
      <c r="D72" s="52"/>
      <c r="E72" s="52"/>
      <c r="F72" s="52"/>
      <c r="G72" s="52"/>
    </row>
    <row r="73" spans="2:7" x14ac:dyDescent="0.35">
      <c r="B73" s="389">
        <v>3</v>
      </c>
      <c r="C73" s="389" t="s">
        <v>420</v>
      </c>
      <c r="D73" s="52"/>
      <c r="E73" s="52"/>
      <c r="F73" s="52"/>
      <c r="G73" s="52"/>
    </row>
    <row r="74" spans="2:7" x14ac:dyDescent="0.35">
      <c r="D74" s="52"/>
      <c r="E74" s="52"/>
      <c r="F74" s="52"/>
      <c r="G74" s="52"/>
    </row>
    <row r="75" spans="2:7" x14ac:dyDescent="0.35">
      <c r="D75" s="52"/>
      <c r="E75" s="52"/>
      <c r="F75" s="52"/>
      <c r="G75" s="52"/>
    </row>
  </sheetData>
  <mergeCells count="37">
    <mergeCell ref="F48:G48"/>
    <mergeCell ref="C1:E2"/>
    <mergeCell ref="D5:D6"/>
    <mergeCell ref="E5:E6"/>
    <mergeCell ref="B5:C6"/>
    <mergeCell ref="F62:G62"/>
    <mergeCell ref="F63:G63"/>
    <mergeCell ref="L9:L10"/>
    <mergeCell ref="M9:M10"/>
    <mergeCell ref="F56:G56"/>
    <mergeCell ref="F57:G57"/>
    <mergeCell ref="F58:G58"/>
    <mergeCell ref="F59:G59"/>
    <mergeCell ref="F60:G60"/>
    <mergeCell ref="F51:G51"/>
    <mergeCell ref="F52:G52"/>
    <mergeCell ref="F53:G53"/>
    <mergeCell ref="F54:G54"/>
    <mergeCell ref="F55:G55"/>
    <mergeCell ref="F50:G50"/>
    <mergeCell ref="F36:G36"/>
    <mergeCell ref="K52:K60"/>
    <mergeCell ref="K38:K46"/>
    <mergeCell ref="M36:U36"/>
    <mergeCell ref="M50:U50"/>
    <mergeCell ref="F61:G61"/>
    <mergeCell ref="F37:G37"/>
    <mergeCell ref="F38:G38"/>
    <mergeCell ref="F39:G39"/>
    <mergeCell ref="F40:G40"/>
    <mergeCell ref="F41:G41"/>
    <mergeCell ref="F42:G42"/>
    <mergeCell ref="F43:G43"/>
    <mergeCell ref="F44:G44"/>
    <mergeCell ref="F45:G45"/>
    <mergeCell ref="F46:G46"/>
    <mergeCell ref="F47:G47"/>
  </mergeCells>
  <dataValidations count="2">
    <dataValidation type="list" allowBlank="1" showInputMessage="1" showErrorMessage="1" sqref="E5" xr:uid="{DAC116DB-34F4-47EB-8701-EFF90EDBB1CD}">
      <formula1>$B$68:$B$69</formula1>
    </dataValidation>
    <dataValidation type="list" allowBlank="1" showInputMessage="1" showErrorMessage="1" sqref="M9:M10" xr:uid="{253CB595-604D-4A02-9736-FCB992A6F797}">
      <formula1>$B$71:$B$73</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Revenue Segements</vt:lpstr>
      <vt:lpstr>IS</vt:lpstr>
      <vt:lpstr>CFS</vt:lpstr>
      <vt:lpstr>BS</vt:lpstr>
      <vt:lpstr>Debt Schedule</vt:lpstr>
      <vt:lpstr>FA Schedule</vt:lpstr>
      <vt:lpstr>Beta</vt:lpstr>
      <vt:lpstr>WACC</vt:lpstr>
      <vt:lpstr>DCF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 suresh</dc:creator>
  <cp:lastModifiedBy>abhi suresh</cp:lastModifiedBy>
  <dcterms:created xsi:type="dcterms:W3CDTF">2024-03-23T06:25:56Z</dcterms:created>
  <dcterms:modified xsi:type="dcterms:W3CDTF">2024-05-11T07:12:39Z</dcterms:modified>
</cp:coreProperties>
</file>