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ory-my.sharepoint.com/personal/kcowdri_emory_edu/Documents/1_Buckley Lab/CVR SCD Kids Manuscript- LIVE fileshare/Figures/"/>
    </mc:Choice>
  </mc:AlternateContent>
  <xr:revisionPtr revIDLastSave="3502" documentId="8_{51B8CF8D-D6CF-4378-B639-781BCFC92109}" xr6:coauthVersionLast="47" xr6:coauthVersionMax="47" xr10:uidLastSave="{0E14CB97-B3F1-47A9-BCB8-9AF3F806D976}"/>
  <bookViews>
    <workbookView xWindow="-108" yWindow="-108" windowWidth="23256" windowHeight="13896" xr2:uid="{C3489085-44CB-4EDD-B2E7-B08CDE3F8B4E}"/>
  </bookViews>
  <sheets>
    <sheet name="Table 1- Demographics" sheetId="1" r:id="rId1"/>
    <sheet name="Table 2- CVR and Association v8" sheetId="13" r:id="rId2"/>
    <sheet name="Table 2- CVR and Assoc v7 Subse" sheetId="12" r:id="rId3"/>
    <sheet name="Table 2- CVR and Association v7" sheetId="11" r:id="rId4"/>
    <sheet name="Archive" sheetId="10" r:id="rId5"/>
    <sheet name="Table 2- CVR and Association v6" sheetId="9" r:id="rId6"/>
    <sheet name="Table 2- CVR and Association v5" sheetId="8" r:id="rId7"/>
    <sheet name="Table 2- CVR and Association v4" sheetId="7" r:id="rId8"/>
    <sheet name="Table 2- CVR and Association v3" sheetId="6" r:id="rId9"/>
    <sheet name="Table 2-SX- Associations v2" sheetId="5" r:id="rId10"/>
    <sheet name="Table X- CVR Data" sheetId="2" r:id="rId11"/>
    <sheet name="Table 3-SX- Associations v1" sheetId="4" r:id="rId12"/>
    <sheet name="Table SX- Resting Optical Data" sheetId="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" i="1" l="1"/>
  <c r="V34" i="1"/>
  <c r="V33" i="1"/>
  <c r="V28" i="1"/>
  <c r="V27" i="1"/>
  <c r="V26" i="1"/>
  <c r="V23" i="1"/>
  <c r="V22" i="1"/>
  <c r="V21" i="1"/>
  <c r="V20" i="1"/>
  <c r="V19" i="1"/>
  <c r="R40" i="1"/>
  <c r="R39" i="1"/>
  <c r="R38" i="1"/>
  <c r="R37" i="1"/>
  <c r="R36" i="1"/>
  <c r="R34" i="1"/>
  <c r="R33" i="1"/>
  <c r="R27" i="1"/>
  <c r="R28" i="1"/>
  <c r="R26" i="1"/>
  <c r="R21" i="1"/>
  <c r="R19" i="1"/>
  <c r="R12" i="1"/>
  <c r="AA56" i="13"/>
  <c r="AA57" i="13"/>
  <c r="Z56" i="13"/>
  <c r="Z57" i="13"/>
  <c r="AC57" i="13"/>
  <c r="AE59" i="13"/>
  <c r="AD59" i="13"/>
  <c r="AC59" i="13"/>
  <c r="AB59" i="13" s="1"/>
  <c r="AA59" i="13"/>
  <c r="Z59" i="13"/>
  <c r="X59" i="13" s="1"/>
  <c r="Y59" i="13"/>
  <c r="AE57" i="13"/>
  <c r="AD57" i="13"/>
  <c r="Y57" i="13"/>
  <c r="X57" i="13" s="1"/>
  <c r="S45" i="1"/>
  <c r="T45" i="1"/>
  <c r="Y49" i="13"/>
  <c r="X49" i="13" s="1"/>
  <c r="Z49" i="13"/>
  <c r="AA49" i="13"/>
  <c r="AC49" i="13"/>
  <c r="AD49" i="13"/>
  <c r="AE49" i="13"/>
  <c r="Y51" i="13"/>
  <c r="Z51" i="13"/>
  <c r="AA51" i="13"/>
  <c r="AC51" i="13"/>
  <c r="AD51" i="13"/>
  <c r="AE51" i="13"/>
  <c r="Y42" i="13"/>
  <c r="X42" i="13" s="1"/>
  <c r="Z42" i="13"/>
  <c r="AA42" i="13"/>
  <c r="AC42" i="13"/>
  <c r="AD42" i="13"/>
  <c r="AE42" i="13"/>
  <c r="Y43" i="13"/>
  <c r="Z43" i="13"/>
  <c r="AA43" i="13"/>
  <c r="AC43" i="13"/>
  <c r="AD43" i="13"/>
  <c r="AE43" i="13"/>
  <c r="Y37" i="13"/>
  <c r="Z37" i="13"/>
  <c r="AA37" i="13"/>
  <c r="AC37" i="13"/>
  <c r="AD37" i="13"/>
  <c r="AE37" i="13"/>
  <c r="Y38" i="13"/>
  <c r="Z38" i="13"/>
  <c r="AA38" i="13"/>
  <c r="AC38" i="13"/>
  <c r="AD38" i="13"/>
  <c r="AE38" i="13"/>
  <c r="C9" i="13"/>
  <c r="AE107" i="13"/>
  <c r="AD107" i="13"/>
  <c r="AC107" i="13"/>
  <c r="AA107" i="13"/>
  <c r="Z107" i="13"/>
  <c r="Y107" i="13"/>
  <c r="Q107" i="13"/>
  <c r="AE106" i="13"/>
  <c r="AD106" i="13"/>
  <c r="AC106" i="13"/>
  <c r="AA106" i="13"/>
  <c r="Z106" i="13"/>
  <c r="Y106" i="13"/>
  <c r="Q106" i="13"/>
  <c r="AE104" i="13"/>
  <c r="AD104" i="13"/>
  <c r="AC104" i="13"/>
  <c r="AA104" i="13"/>
  <c r="Z104" i="13"/>
  <c r="Y104" i="13"/>
  <c r="Q104" i="13"/>
  <c r="AE103" i="13"/>
  <c r="AD103" i="13"/>
  <c r="AC103" i="13"/>
  <c r="AA103" i="13"/>
  <c r="Z103" i="13"/>
  <c r="Y103" i="13"/>
  <c r="Q103" i="13"/>
  <c r="AW97" i="13"/>
  <c r="AQ97" i="13"/>
  <c r="AJ97" i="13"/>
  <c r="AI97" i="13"/>
  <c r="AG97" i="13"/>
  <c r="CA94" i="13"/>
  <c r="BZ94" i="13"/>
  <c r="BY94" i="13"/>
  <c r="BX94" i="13"/>
  <c r="BW94" i="13"/>
  <c r="BV94" i="13"/>
  <c r="BU94" i="13"/>
  <c r="BT94" i="13"/>
  <c r="BS94" i="13"/>
  <c r="BR94" i="13"/>
  <c r="BQ94" i="13"/>
  <c r="BP94" i="13"/>
  <c r="BO94" i="13"/>
  <c r="BM94" i="13"/>
  <c r="BL94" i="13"/>
  <c r="BK94" i="13"/>
  <c r="AW94" i="13"/>
  <c r="AS94" i="13"/>
  <c r="AQ94" i="13"/>
  <c r="AL94" i="13"/>
  <c r="AK94" i="13"/>
  <c r="AJ94" i="13"/>
  <c r="AI94" i="13"/>
  <c r="AG94" i="13"/>
  <c r="AE30" i="13"/>
  <c r="AD30" i="13"/>
  <c r="AC30" i="13"/>
  <c r="AA30" i="13"/>
  <c r="Z30" i="13"/>
  <c r="Y30" i="13"/>
  <c r="AE28" i="13"/>
  <c r="AD28" i="13"/>
  <c r="AC28" i="13"/>
  <c r="AA28" i="13"/>
  <c r="Z28" i="13"/>
  <c r="Y28" i="13"/>
  <c r="X28" i="13" s="1"/>
  <c r="AE22" i="13"/>
  <c r="AD22" i="13"/>
  <c r="AC22" i="13"/>
  <c r="AA22" i="13"/>
  <c r="Z22" i="13"/>
  <c r="Y22" i="13"/>
  <c r="X22" i="13"/>
  <c r="C83" i="13" s="1"/>
  <c r="Q22" i="13"/>
  <c r="AE21" i="13"/>
  <c r="AD21" i="13"/>
  <c r="AC21" i="13"/>
  <c r="AA21" i="13"/>
  <c r="Z21" i="13"/>
  <c r="Y21" i="13"/>
  <c r="Q21" i="13"/>
  <c r="AE17" i="13"/>
  <c r="AD17" i="13"/>
  <c r="AC17" i="13"/>
  <c r="AB17" i="13" s="1"/>
  <c r="D80" i="13" s="1"/>
  <c r="AA17" i="13"/>
  <c r="Z17" i="13"/>
  <c r="Y17" i="13"/>
  <c r="Q17" i="13"/>
  <c r="AE16" i="13"/>
  <c r="AD16" i="13"/>
  <c r="AC16" i="13"/>
  <c r="AB16" i="13" s="1"/>
  <c r="D79" i="13" s="1"/>
  <c r="AA16" i="13"/>
  <c r="Z16" i="13"/>
  <c r="Y16" i="13"/>
  <c r="Q16" i="13"/>
  <c r="CC9" i="13"/>
  <c r="CB9" i="13"/>
  <c r="CA9" i="13"/>
  <c r="BZ9" i="13"/>
  <c r="BY9" i="13"/>
  <c r="BX9" i="13"/>
  <c r="BW9" i="13"/>
  <c r="BV9" i="13"/>
  <c r="BU9" i="13"/>
  <c r="BT9" i="13"/>
  <c r="BS9" i="13"/>
  <c r="BR9" i="13"/>
  <c r="BQ9" i="13"/>
  <c r="BP9" i="13"/>
  <c r="BO9" i="13"/>
  <c r="BN9" i="13"/>
  <c r="BM9" i="13"/>
  <c r="BL9" i="13"/>
  <c r="BK9" i="13"/>
  <c r="AZ9" i="13"/>
  <c r="AW9" i="13"/>
  <c r="AS9" i="13"/>
  <c r="AQ9" i="13"/>
  <c r="AL9" i="13"/>
  <c r="AK9" i="13"/>
  <c r="AJ9" i="13"/>
  <c r="AI9" i="13"/>
  <c r="AG9" i="13"/>
  <c r="Y30" i="11"/>
  <c r="X30" i="11" s="1"/>
  <c r="Z30" i="11"/>
  <c r="AA30" i="11"/>
  <c r="AC30" i="11"/>
  <c r="AB30" i="11" s="1"/>
  <c r="AD30" i="11"/>
  <c r="AE30" i="11"/>
  <c r="Y28" i="11"/>
  <c r="X28" i="11" s="1"/>
  <c r="Z28" i="11"/>
  <c r="AA28" i="11"/>
  <c r="AC28" i="11"/>
  <c r="AB28" i="11" s="1"/>
  <c r="AD28" i="11"/>
  <c r="AE28" i="11"/>
  <c r="K24" i="1"/>
  <c r="K25" i="1"/>
  <c r="K26" i="1"/>
  <c r="K23" i="1"/>
  <c r="X21" i="13" l="1"/>
  <c r="C82" i="13" s="1"/>
  <c r="X103" i="13"/>
  <c r="C95" i="13" s="1"/>
  <c r="AB107" i="13"/>
  <c r="D99" i="13" s="1"/>
  <c r="AB42" i="13"/>
  <c r="X17" i="13"/>
  <c r="C80" i="13" s="1"/>
  <c r="AB28" i="13"/>
  <c r="AB106" i="13"/>
  <c r="D98" i="13" s="1"/>
  <c r="X16" i="13"/>
  <c r="C79" i="13" s="1"/>
  <c r="AB51" i="13"/>
  <c r="AB57" i="13"/>
  <c r="X43" i="13"/>
  <c r="X106" i="13"/>
  <c r="C98" i="13" s="1"/>
  <c r="X30" i="13"/>
  <c r="R97" i="13"/>
  <c r="AB104" i="13"/>
  <c r="D96" i="13" s="1"/>
  <c r="AB43" i="13"/>
  <c r="X51" i="13"/>
  <c r="AB22" i="13"/>
  <c r="D83" i="13" s="1"/>
  <c r="AB38" i="13"/>
  <c r="AB37" i="13"/>
  <c r="AB49" i="13"/>
  <c r="X37" i="13"/>
  <c r="X38" i="13"/>
  <c r="AB30" i="13"/>
  <c r="X107" i="13"/>
  <c r="C99" i="13" s="1"/>
  <c r="X104" i="13"/>
  <c r="C96" i="13" s="1"/>
  <c r="AA4" i="13"/>
  <c r="AE9" i="13"/>
  <c r="AB21" i="13"/>
  <c r="D82" i="13" s="1"/>
  <c r="S97" i="13"/>
  <c r="AB103" i="13"/>
  <c r="D95" i="13" s="1"/>
  <c r="AA9" i="13"/>
  <c r="Y4" i="13"/>
  <c r="Z4" i="13"/>
  <c r="AC9" i="13"/>
  <c r="Y9" i="13"/>
  <c r="Z9" i="13"/>
  <c r="AD9" i="13"/>
  <c r="X4" i="13" l="1"/>
  <c r="X9" i="13"/>
  <c r="AB9" i="13"/>
  <c r="AE107" i="12" l="1"/>
  <c r="AD107" i="12"/>
  <c r="AC107" i="12"/>
  <c r="AB107" i="12" s="1"/>
  <c r="D101" i="12" s="1"/>
  <c r="AA107" i="12"/>
  <c r="Z107" i="12"/>
  <c r="Y107" i="12"/>
  <c r="X107" i="12" s="1"/>
  <c r="C101" i="12" s="1"/>
  <c r="Q107" i="12"/>
  <c r="AE106" i="12"/>
  <c r="AD106" i="12"/>
  <c r="AB106" i="12" s="1"/>
  <c r="D100" i="12" s="1"/>
  <c r="AC106" i="12"/>
  <c r="AA106" i="12"/>
  <c r="Z106" i="12"/>
  <c r="Y106" i="12"/>
  <c r="X106" i="12"/>
  <c r="C100" i="12" s="1"/>
  <c r="Q106" i="12"/>
  <c r="AE104" i="12"/>
  <c r="AD104" i="12"/>
  <c r="AC104" i="12"/>
  <c r="AB104" i="12" s="1"/>
  <c r="D98" i="12" s="1"/>
  <c r="AA104" i="12"/>
  <c r="Z104" i="12"/>
  <c r="Y104" i="12"/>
  <c r="X104" i="12" s="1"/>
  <c r="C98" i="12" s="1"/>
  <c r="Q104" i="12"/>
  <c r="AE103" i="12"/>
  <c r="AD103" i="12"/>
  <c r="AC103" i="12"/>
  <c r="AB103" i="12" s="1"/>
  <c r="D97" i="12" s="1"/>
  <c r="AA103" i="12"/>
  <c r="Z103" i="12"/>
  <c r="Y103" i="12"/>
  <c r="X103" i="12" s="1"/>
  <c r="C97" i="12" s="1"/>
  <c r="Q103" i="12"/>
  <c r="AW97" i="12"/>
  <c r="AQ97" i="12"/>
  <c r="AJ97" i="12"/>
  <c r="AI97" i="12"/>
  <c r="AG97" i="12"/>
  <c r="S97" i="12" s="1"/>
  <c r="R97" i="12"/>
  <c r="CA94" i="12"/>
  <c r="BZ94" i="12"/>
  <c r="BY94" i="12"/>
  <c r="BX94" i="12"/>
  <c r="BW94" i="12"/>
  <c r="BV94" i="12"/>
  <c r="BU94" i="12"/>
  <c r="BT94" i="12"/>
  <c r="BS94" i="12"/>
  <c r="BR94" i="12"/>
  <c r="BQ94" i="12"/>
  <c r="BP94" i="12"/>
  <c r="BO94" i="12"/>
  <c r="BM94" i="12"/>
  <c r="BL94" i="12"/>
  <c r="BK94" i="12"/>
  <c r="AW94" i="12"/>
  <c r="AS94" i="12"/>
  <c r="AQ94" i="12"/>
  <c r="AL94" i="12"/>
  <c r="AK94" i="12"/>
  <c r="AJ94" i="12"/>
  <c r="AI94" i="12"/>
  <c r="AG94" i="12"/>
  <c r="AE22" i="12"/>
  <c r="AB22" i="12" s="1"/>
  <c r="D85" i="12" s="1"/>
  <c r="AD22" i="12"/>
  <c r="AC22" i="12"/>
  <c r="AA22" i="12"/>
  <c r="Z22" i="12"/>
  <c r="X22" i="12" s="1"/>
  <c r="C85" i="12" s="1"/>
  <c r="Y22" i="12"/>
  <c r="Q22" i="12"/>
  <c r="AE21" i="12"/>
  <c r="AD21" i="12"/>
  <c r="AC21" i="12"/>
  <c r="AB21" i="12" s="1"/>
  <c r="D84" i="12" s="1"/>
  <c r="AA21" i="12"/>
  <c r="Z21" i="12"/>
  <c r="Y21" i="12"/>
  <c r="X21" i="12" s="1"/>
  <c r="C84" i="12" s="1"/>
  <c r="Q21" i="12"/>
  <c r="AE17" i="12"/>
  <c r="AD17" i="12"/>
  <c r="AC17" i="12"/>
  <c r="AB17" i="12"/>
  <c r="D82" i="12" s="1"/>
  <c r="AA17" i="12"/>
  <c r="Z17" i="12"/>
  <c r="Y17" i="12"/>
  <c r="X17" i="12" s="1"/>
  <c r="C82" i="12" s="1"/>
  <c r="Q17" i="12"/>
  <c r="AE16" i="12"/>
  <c r="AD16" i="12"/>
  <c r="AC16" i="12"/>
  <c r="AB16" i="12" s="1"/>
  <c r="D81" i="12" s="1"/>
  <c r="AA16" i="12"/>
  <c r="Z16" i="12"/>
  <c r="Y16" i="12"/>
  <c r="X16" i="12" s="1"/>
  <c r="C81" i="12" s="1"/>
  <c r="Q16" i="12"/>
  <c r="CC9" i="12"/>
  <c r="CB9" i="12"/>
  <c r="CA9" i="12"/>
  <c r="BZ9" i="12"/>
  <c r="BY9" i="12"/>
  <c r="BX9" i="12"/>
  <c r="BW9" i="12"/>
  <c r="BV9" i="12"/>
  <c r="BU9" i="12"/>
  <c r="BT9" i="12"/>
  <c r="BS9" i="12"/>
  <c r="BR9" i="12"/>
  <c r="BQ9" i="12"/>
  <c r="BP9" i="12"/>
  <c r="BO9" i="12"/>
  <c r="BN9" i="12"/>
  <c r="BM9" i="12"/>
  <c r="BL9" i="12"/>
  <c r="AE9" i="12" s="1"/>
  <c r="BK9" i="12"/>
  <c r="AD9" i="12" s="1"/>
  <c r="AZ9" i="12"/>
  <c r="AW9" i="12"/>
  <c r="AS9" i="12"/>
  <c r="AQ9" i="12"/>
  <c r="AL9" i="12"/>
  <c r="AK9" i="12"/>
  <c r="AJ9" i="12"/>
  <c r="AI9" i="12"/>
  <c r="AG9" i="12"/>
  <c r="Y9" i="12" s="1"/>
  <c r="Z9" i="12"/>
  <c r="C9" i="12"/>
  <c r="AE107" i="11"/>
  <c r="AD107" i="11"/>
  <c r="AC107" i="11"/>
  <c r="AB107" i="11" s="1"/>
  <c r="D101" i="11" s="1"/>
  <c r="AA107" i="11"/>
  <c r="Z107" i="11"/>
  <c r="Y107" i="11"/>
  <c r="X107" i="11" s="1"/>
  <c r="C101" i="11" s="1"/>
  <c r="Q107" i="11"/>
  <c r="AE106" i="11"/>
  <c r="AD106" i="11"/>
  <c r="AC106" i="11"/>
  <c r="AB106" i="11" s="1"/>
  <c r="D100" i="11" s="1"/>
  <c r="AA106" i="11"/>
  <c r="Z106" i="11"/>
  <c r="Y106" i="11"/>
  <c r="X106" i="11"/>
  <c r="C100" i="11" s="1"/>
  <c r="Q106" i="11"/>
  <c r="AE104" i="11"/>
  <c r="AD104" i="11"/>
  <c r="AC104" i="11"/>
  <c r="AB104" i="11" s="1"/>
  <c r="D98" i="11" s="1"/>
  <c r="AA104" i="11"/>
  <c r="Z104" i="11"/>
  <c r="Y104" i="11"/>
  <c r="X104" i="11" s="1"/>
  <c r="C98" i="11" s="1"/>
  <c r="Q104" i="11"/>
  <c r="AE103" i="11"/>
  <c r="AD103" i="11"/>
  <c r="AC103" i="11"/>
  <c r="AB103" i="11" s="1"/>
  <c r="D97" i="11" s="1"/>
  <c r="AA103" i="11"/>
  <c r="Z103" i="11"/>
  <c r="X103" i="11" s="1"/>
  <c r="C97" i="11" s="1"/>
  <c r="Y103" i="11"/>
  <c r="Q103" i="11"/>
  <c r="AW97" i="11"/>
  <c r="AQ97" i="11"/>
  <c r="S97" i="11" s="1"/>
  <c r="AJ97" i="11"/>
  <c r="AI97" i="11"/>
  <c r="AG97" i="11"/>
  <c r="R97" i="11"/>
  <c r="CA94" i="11"/>
  <c r="BZ94" i="11"/>
  <c r="BY94" i="11"/>
  <c r="BX94" i="11"/>
  <c r="BW94" i="11"/>
  <c r="BV94" i="11"/>
  <c r="BU94" i="11"/>
  <c r="BT94" i="11"/>
  <c r="BS94" i="11"/>
  <c r="BR94" i="11"/>
  <c r="BQ94" i="11"/>
  <c r="BP94" i="11"/>
  <c r="BO94" i="11"/>
  <c r="BM94" i="11"/>
  <c r="BL94" i="11"/>
  <c r="BK94" i="11"/>
  <c r="AW94" i="11"/>
  <c r="AS94" i="11"/>
  <c r="AQ94" i="11"/>
  <c r="AL94" i="11"/>
  <c r="AK94" i="11"/>
  <c r="AJ94" i="11"/>
  <c r="AI94" i="11"/>
  <c r="AG94" i="11"/>
  <c r="AE22" i="11"/>
  <c r="AD22" i="11"/>
  <c r="AC22" i="11"/>
  <c r="AA22" i="11"/>
  <c r="Z22" i="11"/>
  <c r="X22" i="11" s="1"/>
  <c r="C85" i="11" s="1"/>
  <c r="Y22" i="11"/>
  <c r="Q22" i="11"/>
  <c r="AE21" i="11"/>
  <c r="AD21" i="11"/>
  <c r="AB21" i="11" s="1"/>
  <c r="D84" i="11" s="1"/>
  <c r="AC21" i="11"/>
  <c r="AA21" i="11"/>
  <c r="Z21" i="11"/>
  <c r="Y21" i="11"/>
  <c r="Q21" i="11"/>
  <c r="AE17" i="11"/>
  <c r="AD17" i="11"/>
  <c r="AC17" i="11"/>
  <c r="AB17" i="11" s="1"/>
  <c r="D82" i="11" s="1"/>
  <c r="AA17" i="11"/>
  <c r="Z17" i="11"/>
  <c r="Y17" i="11"/>
  <c r="X17" i="11" s="1"/>
  <c r="C82" i="11" s="1"/>
  <c r="Q17" i="11"/>
  <c r="AE16" i="11"/>
  <c r="AD16" i="11"/>
  <c r="AC16" i="11"/>
  <c r="AB16" i="11" s="1"/>
  <c r="D81" i="11" s="1"/>
  <c r="AA16" i="11"/>
  <c r="Z16" i="11"/>
  <c r="Y16" i="11"/>
  <c r="Q16" i="11"/>
  <c r="CC9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O9" i="11"/>
  <c r="BN9" i="11"/>
  <c r="BM9" i="11"/>
  <c r="BL9" i="11"/>
  <c r="AE9" i="11" s="1"/>
  <c r="BK9" i="11"/>
  <c r="AD9" i="11" s="1"/>
  <c r="AZ9" i="11"/>
  <c r="AW9" i="11"/>
  <c r="AS9" i="11"/>
  <c r="AQ9" i="11"/>
  <c r="AL9" i="11"/>
  <c r="AK9" i="11"/>
  <c r="AJ9" i="11"/>
  <c r="AA9" i="11" s="1"/>
  <c r="AI9" i="11"/>
  <c r="AG9" i="11"/>
  <c r="Y9" i="11" s="1"/>
  <c r="Z9" i="11"/>
  <c r="C9" i="11"/>
  <c r="AV26" i="1"/>
  <c r="AU26" i="1"/>
  <c r="X4" i="9"/>
  <c r="AA4" i="9"/>
  <c r="Z4" i="9"/>
  <c r="Y4" i="9"/>
  <c r="Y9" i="9"/>
  <c r="X9" i="9" s="1"/>
  <c r="Z9" i="9"/>
  <c r="AA9" i="9"/>
  <c r="AC9" i="9"/>
  <c r="AD9" i="9"/>
  <c r="AE9" i="9"/>
  <c r="AB9" i="9" s="1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AG9" i="9"/>
  <c r="AI9" i="9"/>
  <c r="AJ9" i="9"/>
  <c r="AK9" i="9"/>
  <c r="AL9" i="9"/>
  <c r="AQ9" i="9"/>
  <c r="AS9" i="9"/>
  <c r="AW9" i="9"/>
  <c r="AZ9" i="9"/>
  <c r="AE107" i="9"/>
  <c r="AD107" i="9"/>
  <c r="AC107" i="9"/>
  <c r="AB107" i="9" s="1"/>
  <c r="D101" i="9" s="1"/>
  <c r="AA107" i="9"/>
  <c r="Z107" i="9"/>
  <c r="Y107" i="9"/>
  <c r="X107" i="9" s="1"/>
  <c r="C101" i="9" s="1"/>
  <c r="Q107" i="9"/>
  <c r="AE106" i="9"/>
  <c r="AD106" i="9"/>
  <c r="AC106" i="9"/>
  <c r="AA106" i="9"/>
  <c r="Z106" i="9"/>
  <c r="Y106" i="9"/>
  <c r="X106" i="9" s="1"/>
  <c r="C100" i="9" s="1"/>
  <c r="Q106" i="9"/>
  <c r="AE104" i="9"/>
  <c r="AD104" i="9"/>
  <c r="AB104" i="9" s="1"/>
  <c r="D98" i="9" s="1"/>
  <c r="AC104" i="9"/>
  <c r="AA104" i="9"/>
  <c r="Z104" i="9"/>
  <c r="Y104" i="9"/>
  <c r="X104" i="9" s="1"/>
  <c r="C98" i="9" s="1"/>
  <c r="Q104" i="9"/>
  <c r="AE103" i="9"/>
  <c r="AD103" i="9"/>
  <c r="AC103" i="9"/>
  <c r="AA103" i="9"/>
  <c r="Z103" i="9"/>
  <c r="Y103" i="9"/>
  <c r="X103" i="9" s="1"/>
  <c r="C97" i="9" s="1"/>
  <c r="Q103" i="9"/>
  <c r="AW97" i="9"/>
  <c r="AQ97" i="9"/>
  <c r="AJ97" i="9"/>
  <c r="AI97" i="9"/>
  <c r="AG97" i="9"/>
  <c r="S97" i="9" s="1"/>
  <c r="CA94" i="9"/>
  <c r="BZ94" i="9"/>
  <c r="BY94" i="9"/>
  <c r="BX94" i="9"/>
  <c r="BW94" i="9"/>
  <c r="BV94" i="9"/>
  <c r="BU94" i="9"/>
  <c r="BT94" i="9"/>
  <c r="BS94" i="9"/>
  <c r="BR94" i="9"/>
  <c r="BQ94" i="9"/>
  <c r="BP94" i="9"/>
  <c r="BO94" i="9"/>
  <c r="BM94" i="9"/>
  <c r="BL94" i="9"/>
  <c r="BK94" i="9"/>
  <c r="AW94" i="9"/>
  <c r="AS94" i="9"/>
  <c r="AQ94" i="9"/>
  <c r="AL94" i="9"/>
  <c r="AK94" i="9"/>
  <c r="AJ94" i="9"/>
  <c r="AI94" i="9"/>
  <c r="AG94" i="9"/>
  <c r="AE22" i="9"/>
  <c r="AD22" i="9"/>
  <c r="AC22" i="9"/>
  <c r="AA22" i="9"/>
  <c r="Z22" i="9"/>
  <c r="Y22" i="9"/>
  <c r="Q22" i="9"/>
  <c r="AE21" i="9"/>
  <c r="AD21" i="9"/>
  <c r="AC21" i="9"/>
  <c r="AA21" i="9"/>
  <c r="Z21" i="9"/>
  <c r="Y21" i="9"/>
  <c r="Q21" i="9"/>
  <c r="AE17" i="9"/>
  <c r="AD17" i="9"/>
  <c r="AC17" i="9"/>
  <c r="AA17" i="9"/>
  <c r="Z17" i="9"/>
  <c r="Y17" i="9"/>
  <c r="Q17" i="9"/>
  <c r="AE16" i="9"/>
  <c r="AD16" i="9"/>
  <c r="AC16" i="9"/>
  <c r="AA16" i="9"/>
  <c r="Z16" i="9"/>
  <c r="Y16" i="9"/>
  <c r="Q16" i="9"/>
  <c r="C9" i="9"/>
  <c r="F13" i="1"/>
  <c r="AT12" i="1"/>
  <c r="S15" i="1"/>
  <c r="BW12" i="1"/>
  <c r="AT26" i="1"/>
  <c r="AQ26" i="1"/>
  <c r="BK93" i="8"/>
  <c r="BL93" i="8"/>
  <c r="BM93" i="8"/>
  <c r="BO93" i="8"/>
  <c r="BP93" i="8"/>
  <c r="BQ93" i="8"/>
  <c r="BR93" i="8"/>
  <c r="BS93" i="8"/>
  <c r="BT93" i="8"/>
  <c r="BU93" i="8"/>
  <c r="BV93" i="8"/>
  <c r="BW93" i="8"/>
  <c r="BX93" i="8"/>
  <c r="BY93" i="8"/>
  <c r="BZ93" i="8"/>
  <c r="CA93" i="8"/>
  <c r="AG93" i="8"/>
  <c r="AI93" i="8"/>
  <c r="AJ93" i="8"/>
  <c r="AK93" i="8"/>
  <c r="AL93" i="8"/>
  <c r="AQ93" i="8"/>
  <c r="AS93" i="8"/>
  <c r="AW93" i="8"/>
  <c r="AG96" i="8"/>
  <c r="AI96" i="8"/>
  <c r="AJ96" i="8"/>
  <c r="AQ96" i="8"/>
  <c r="AW96" i="8"/>
  <c r="AD16" i="8"/>
  <c r="Y15" i="8"/>
  <c r="Y20" i="8"/>
  <c r="F21" i="1"/>
  <c r="F22" i="1"/>
  <c r="F23" i="1"/>
  <c r="F24" i="1"/>
  <c r="X34" i="1"/>
  <c r="AE106" i="8"/>
  <c r="AD106" i="8"/>
  <c r="AC106" i="8"/>
  <c r="AA106" i="8"/>
  <c r="Z106" i="8"/>
  <c r="Y106" i="8"/>
  <c r="Q106" i="8"/>
  <c r="AE105" i="8"/>
  <c r="AD105" i="8"/>
  <c r="AC105" i="8"/>
  <c r="AA105" i="8"/>
  <c r="Z105" i="8"/>
  <c r="Y105" i="8"/>
  <c r="Q105" i="8"/>
  <c r="AE103" i="8"/>
  <c r="AD103" i="8"/>
  <c r="AC103" i="8"/>
  <c r="AA103" i="8"/>
  <c r="Z103" i="8"/>
  <c r="Y103" i="8"/>
  <c r="Q103" i="8"/>
  <c r="AE102" i="8"/>
  <c r="AD102" i="8"/>
  <c r="AC102" i="8"/>
  <c r="AA102" i="8"/>
  <c r="Z102" i="8"/>
  <c r="Y102" i="8"/>
  <c r="Q102" i="8"/>
  <c r="AE21" i="8"/>
  <c r="AD21" i="8"/>
  <c r="AC21" i="8"/>
  <c r="AA21" i="8"/>
  <c r="Z21" i="8"/>
  <c r="Y21" i="8"/>
  <c r="Q21" i="8"/>
  <c r="AE20" i="8"/>
  <c r="AD20" i="8"/>
  <c r="AC20" i="8"/>
  <c r="AA20" i="8"/>
  <c r="Z20" i="8"/>
  <c r="Q20" i="8"/>
  <c r="AE16" i="8"/>
  <c r="AC16" i="8"/>
  <c r="AA16" i="8"/>
  <c r="Z16" i="8"/>
  <c r="Y16" i="8"/>
  <c r="Q16" i="8"/>
  <c r="AE15" i="8"/>
  <c r="AD15" i="8"/>
  <c r="AC15" i="8"/>
  <c r="AA15" i="8"/>
  <c r="Z15" i="8"/>
  <c r="Q15" i="8"/>
  <c r="C9" i="8"/>
  <c r="BK12" i="1"/>
  <c r="BL12" i="1"/>
  <c r="BM12" i="1"/>
  <c r="BN12" i="1"/>
  <c r="BO12" i="1"/>
  <c r="BP12" i="1"/>
  <c r="BQ12" i="1"/>
  <c r="BR12" i="1"/>
  <c r="BS12" i="1"/>
  <c r="BU12" i="1"/>
  <c r="BI12" i="1"/>
  <c r="BF12" i="1"/>
  <c r="BE12" i="1"/>
  <c r="AQ12" i="1"/>
  <c r="AM12" i="1"/>
  <c r="AK12" i="1"/>
  <c r="AF12" i="1"/>
  <c r="AE12" i="1"/>
  <c r="AD12" i="1"/>
  <c r="AC12" i="1"/>
  <c r="C9" i="7"/>
  <c r="W28" i="1"/>
  <c r="X28" i="1"/>
  <c r="Y28" i="1"/>
  <c r="AB99" i="7"/>
  <c r="AA99" i="7"/>
  <c r="Z99" i="7"/>
  <c r="X99" i="7"/>
  <c r="W99" i="7"/>
  <c r="V99" i="7"/>
  <c r="N99" i="7"/>
  <c r="AB98" i="7"/>
  <c r="AA98" i="7"/>
  <c r="Z98" i="7"/>
  <c r="X98" i="7"/>
  <c r="W98" i="7"/>
  <c r="V98" i="7"/>
  <c r="N98" i="7"/>
  <c r="AB96" i="7"/>
  <c r="AA96" i="7"/>
  <c r="Z96" i="7"/>
  <c r="X96" i="7"/>
  <c r="W96" i="7"/>
  <c r="V96" i="7"/>
  <c r="N96" i="7"/>
  <c r="AB95" i="7"/>
  <c r="AA95" i="7"/>
  <c r="Z95" i="7"/>
  <c r="X95" i="7"/>
  <c r="W95" i="7"/>
  <c r="V95" i="7"/>
  <c r="N95" i="7"/>
  <c r="AN89" i="7"/>
  <c r="AH89" i="7"/>
  <c r="AG89" i="7"/>
  <c r="AF89" i="7"/>
  <c r="AD89" i="7"/>
  <c r="AB21" i="7"/>
  <c r="AA21" i="7"/>
  <c r="Z21" i="7"/>
  <c r="X21" i="7"/>
  <c r="W21" i="7"/>
  <c r="V21" i="7"/>
  <c r="N21" i="7"/>
  <c r="AB20" i="7"/>
  <c r="AA20" i="7"/>
  <c r="Z20" i="7"/>
  <c r="X20" i="7"/>
  <c r="W20" i="7"/>
  <c r="V20" i="7"/>
  <c r="N20" i="7"/>
  <c r="AB16" i="7"/>
  <c r="AA16" i="7"/>
  <c r="Z16" i="7"/>
  <c r="X16" i="7"/>
  <c r="W16" i="7"/>
  <c r="V16" i="7"/>
  <c r="N16" i="7"/>
  <c r="AB15" i="7"/>
  <c r="AA15" i="7"/>
  <c r="Z15" i="7"/>
  <c r="X15" i="7"/>
  <c r="W15" i="7"/>
  <c r="V15" i="7"/>
  <c r="N15" i="7"/>
  <c r="X44" i="1"/>
  <c r="Y44" i="1"/>
  <c r="F18" i="1"/>
  <c r="F17" i="1"/>
  <c r="D15" i="6"/>
  <c r="D48" i="6"/>
  <c r="D51" i="6"/>
  <c r="B9" i="6"/>
  <c r="AA64" i="6"/>
  <c r="Z64" i="6"/>
  <c r="Y64" i="6"/>
  <c r="W64" i="6"/>
  <c r="V64" i="6"/>
  <c r="U64" i="6"/>
  <c r="M64" i="6"/>
  <c r="D64" i="6"/>
  <c r="AA63" i="6"/>
  <c r="Z63" i="6"/>
  <c r="Y63" i="6"/>
  <c r="W63" i="6"/>
  <c r="V63" i="6"/>
  <c r="U63" i="6"/>
  <c r="M63" i="6"/>
  <c r="D63" i="6"/>
  <c r="AA61" i="6"/>
  <c r="Z61" i="6"/>
  <c r="Y61" i="6"/>
  <c r="W61" i="6"/>
  <c r="V61" i="6"/>
  <c r="U61" i="6"/>
  <c r="M61" i="6"/>
  <c r="D61" i="6"/>
  <c r="AA60" i="6"/>
  <c r="Z60" i="6"/>
  <c r="Y60" i="6"/>
  <c r="W60" i="6"/>
  <c r="V60" i="6"/>
  <c r="U60" i="6"/>
  <c r="M60" i="6"/>
  <c r="D60" i="6"/>
  <c r="AM54" i="6"/>
  <c r="AG54" i="6"/>
  <c r="AF54" i="6"/>
  <c r="AE54" i="6"/>
  <c r="AC54" i="6"/>
  <c r="AA22" i="6"/>
  <c r="Z22" i="6"/>
  <c r="Y22" i="6"/>
  <c r="W22" i="6"/>
  <c r="V22" i="6"/>
  <c r="U22" i="6"/>
  <c r="M22" i="6"/>
  <c r="AA21" i="6"/>
  <c r="Z21" i="6"/>
  <c r="Y21" i="6"/>
  <c r="W21" i="6"/>
  <c r="V21" i="6"/>
  <c r="U21" i="6"/>
  <c r="M21" i="6"/>
  <c r="D26" i="6"/>
  <c r="AA17" i="6"/>
  <c r="Z17" i="6"/>
  <c r="Y17" i="6"/>
  <c r="W17" i="6"/>
  <c r="V17" i="6"/>
  <c r="U17" i="6"/>
  <c r="M17" i="6"/>
  <c r="AA15" i="6"/>
  <c r="Z15" i="6"/>
  <c r="Y15" i="6"/>
  <c r="W15" i="6"/>
  <c r="V15" i="6"/>
  <c r="U15" i="6"/>
  <c r="M15" i="6"/>
  <c r="T12" i="1" l="1"/>
  <c r="S12" i="1"/>
  <c r="T10" i="1"/>
  <c r="U10" i="1"/>
  <c r="X12" i="1"/>
  <c r="S10" i="1"/>
  <c r="R10" i="1" s="1"/>
  <c r="W10" i="1"/>
  <c r="AB22" i="11"/>
  <c r="D85" i="11" s="1"/>
  <c r="X21" i="11"/>
  <c r="C84" i="11" s="1"/>
  <c r="X16" i="11"/>
  <c r="C81" i="11" s="1"/>
  <c r="W12" i="1"/>
  <c r="AA9" i="12"/>
  <c r="X9" i="12" s="1"/>
  <c r="Z4" i="12"/>
  <c r="AC9" i="12"/>
  <c r="AB9" i="12" s="1"/>
  <c r="Y4" i="12"/>
  <c r="X4" i="12" s="1"/>
  <c r="AA4" i="12"/>
  <c r="X9" i="11"/>
  <c r="Z4" i="11"/>
  <c r="AC9" i="11"/>
  <c r="AB9" i="11" s="1"/>
  <c r="Y4" i="11"/>
  <c r="AA4" i="11"/>
  <c r="AB16" i="9"/>
  <c r="D81" i="9" s="1"/>
  <c r="AB21" i="9"/>
  <c r="D84" i="9" s="1"/>
  <c r="R97" i="9"/>
  <c r="AB103" i="9"/>
  <c r="D97" i="9" s="1"/>
  <c r="AB106" i="9"/>
  <c r="D100" i="9" s="1"/>
  <c r="AB22" i="9"/>
  <c r="D85" i="9" s="1"/>
  <c r="AB17" i="9"/>
  <c r="D82" i="9" s="1"/>
  <c r="X21" i="9"/>
  <c r="C84" i="9" s="1"/>
  <c r="X22" i="9"/>
  <c r="C85" i="9" s="1"/>
  <c r="X16" i="9"/>
  <c r="C81" i="9" s="1"/>
  <c r="X17" i="9"/>
  <c r="C82" i="9" s="1"/>
  <c r="X20" i="8"/>
  <c r="C83" i="8" s="1"/>
  <c r="AB106" i="8"/>
  <c r="D100" i="8" s="1"/>
  <c r="AB105" i="8"/>
  <c r="D99" i="8" s="1"/>
  <c r="X106" i="8"/>
  <c r="C100" i="8" s="1"/>
  <c r="X16" i="8"/>
  <c r="C81" i="8" s="1"/>
  <c r="X102" i="8"/>
  <c r="C96" i="8" s="1"/>
  <c r="AB103" i="8"/>
  <c r="D97" i="8" s="1"/>
  <c r="AB16" i="8"/>
  <c r="D81" i="8" s="1"/>
  <c r="R96" i="8"/>
  <c r="X15" i="8"/>
  <c r="C80" i="8" s="1"/>
  <c r="X21" i="8"/>
  <c r="C84" i="8" s="1"/>
  <c r="X103" i="8"/>
  <c r="C97" i="8" s="1"/>
  <c r="X105" i="8"/>
  <c r="C99" i="8" s="1"/>
  <c r="AB15" i="8"/>
  <c r="D80" i="8" s="1"/>
  <c r="AB20" i="8"/>
  <c r="D83" i="8" s="1"/>
  <c r="AB21" i="8"/>
  <c r="D84" i="8" s="1"/>
  <c r="AB102" i="8"/>
  <c r="D96" i="8" s="1"/>
  <c r="S96" i="8"/>
  <c r="E23" i="1"/>
  <c r="Y21" i="7"/>
  <c r="D77" i="7" s="1"/>
  <c r="Y96" i="7"/>
  <c r="D90" i="7" s="1"/>
  <c r="Y99" i="7"/>
  <c r="D93" i="7" s="1"/>
  <c r="U21" i="7"/>
  <c r="C77" i="7" s="1"/>
  <c r="P89" i="7"/>
  <c r="U96" i="7"/>
  <c r="C90" i="7" s="1"/>
  <c r="U99" i="7"/>
  <c r="C93" i="7" s="1"/>
  <c r="U16" i="7"/>
  <c r="C74" i="7" s="1"/>
  <c r="U15" i="7"/>
  <c r="C73" i="7" s="1"/>
  <c r="Y16" i="7"/>
  <c r="D74" i="7" s="1"/>
  <c r="U95" i="7"/>
  <c r="C89" i="7" s="1"/>
  <c r="U98" i="7"/>
  <c r="C92" i="7" s="1"/>
  <c r="U20" i="7"/>
  <c r="C76" i="7" s="1"/>
  <c r="Y15" i="7"/>
  <c r="D73" i="7" s="1"/>
  <c r="Y95" i="7"/>
  <c r="D89" i="7" s="1"/>
  <c r="Y98" i="7"/>
  <c r="D92" i="7" s="1"/>
  <c r="Y20" i="7"/>
  <c r="D76" i="7" s="1"/>
  <c r="O89" i="7"/>
  <c r="X17" i="6"/>
  <c r="C48" i="6" s="1"/>
  <c r="X21" i="6"/>
  <c r="C26" i="6" s="1"/>
  <c r="X15" i="6"/>
  <c r="C15" i="6" s="1"/>
  <c r="X22" i="6"/>
  <c r="C51" i="6" s="1"/>
  <c r="T60" i="6"/>
  <c r="B60" i="6" s="1"/>
  <c r="T61" i="6"/>
  <c r="B61" i="6" s="1"/>
  <c r="T63" i="6"/>
  <c r="B63" i="6" s="1"/>
  <c r="T64" i="6"/>
  <c r="B64" i="6" s="1"/>
  <c r="T17" i="6"/>
  <c r="B48" i="6" s="1"/>
  <c r="T22" i="6"/>
  <c r="B51" i="6" s="1"/>
  <c r="X60" i="6"/>
  <c r="C60" i="6" s="1"/>
  <c r="X61" i="6"/>
  <c r="C61" i="6" s="1"/>
  <c r="X63" i="6"/>
  <c r="C63" i="6" s="1"/>
  <c r="X64" i="6"/>
  <c r="C64" i="6" s="1"/>
  <c r="T15" i="6"/>
  <c r="B15" i="6" s="1"/>
  <c r="T21" i="6"/>
  <c r="B26" i="6" s="1"/>
  <c r="N54" i="6"/>
  <c r="O54" i="6"/>
  <c r="X4" i="11" l="1"/>
  <c r="U45" i="1"/>
  <c r="CE12" i="1"/>
  <c r="CF12" i="1"/>
  <c r="BB12" i="1"/>
  <c r="BA12" i="1"/>
  <c r="S48" i="2"/>
  <c r="S50" i="2"/>
  <c r="S51" i="2"/>
  <c r="S47" i="2"/>
  <c r="O48" i="2"/>
  <c r="O50" i="2"/>
  <c r="O51" i="2"/>
  <c r="O47" i="2"/>
  <c r="S16" i="2"/>
  <c r="S18" i="2"/>
  <c r="S19" i="2"/>
  <c r="S15" i="2"/>
  <c r="O18" i="2"/>
  <c r="O19" i="2"/>
  <c r="O16" i="2"/>
  <c r="O15" i="2"/>
  <c r="J15" i="2"/>
  <c r="D51" i="2"/>
  <c r="D50" i="2"/>
  <c r="D48" i="2"/>
  <c r="D47" i="2"/>
  <c r="D19" i="2"/>
  <c r="D18" i="2"/>
  <c r="D16" i="2"/>
  <c r="D15" i="2"/>
  <c r="J50" i="2"/>
  <c r="J51" i="2"/>
  <c r="J48" i="2"/>
  <c r="J47" i="2"/>
  <c r="J19" i="2"/>
  <c r="J18" i="2"/>
  <c r="J16" i="2"/>
  <c r="V51" i="2"/>
  <c r="U51" i="2"/>
  <c r="T51" i="2"/>
  <c r="C51" i="2" s="1"/>
  <c r="R51" i="2"/>
  <c r="Q51" i="2"/>
  <c r="P51" i="2"/>
  <c r="B51" i="2" s="1"/>
  <c r="V50" i="2"/>
  <c r="U50" i="2"/>
  <c r="T50" i="2"/>
  <c r="R50" i="2"/>
  <c r="Q50" i="2"/>
  <c r="P50" i="2"/>
  <c r="V48" i="2"/>
  <c r="U48" i="2"/>
  <c r="T48" i="2"/>
  <c r="R48" i="2"/>
  <c r="Q48" i="2"/>
  <c r="P48" i="2"/>
  <c r="B48" i="2" s="1"/>
  <c r="V47" i="2"/>
  <c r="U47" i="2"/>
  <c r="T47" i="2"/>
  <c r="R47" i="2"/>
  <c r="Q47" i="2"/>
  <c r="P47" i="2"/>
  <c r="V19" i="2"/>
  <c r="U19" i="2"/>
  <c r="T19" i="2"/>
  <c r="R19" i="2"/>
  <c r="Q19" i="2"/>
  <c r="P19" i="2"/>
  <c r="B19" i="2" s="1"/>
  <c r="V18" i="2"/>
  <c r="U18" i="2"/>
  <c r="T18" i="2"/>
  <c r="R18" i="2"/>
  <c r="Q18" i="2"/>
  <c r="P18" i="2"/>
  <c r="P16" i="2"/>
  <c r="Q16" i="2"/>
  <c r="R16" i="2"/>
  <c r="T16" i="2"/>
  <c r="U16" i="2"/>
  <c r="V16" i="2"/>
  <c r="P15" i="2"/>
  <c r="AH41" i="2"/>
  <c r="AB41" i="2"/>
  <c r="AA41" i="2"/>
  <c r="Z41" i="2"/>
  <c r="X41" i="2"/>
  <c r="V15" i="2"/>
  <c r="U15" i="2"/>
  <c r="T15" i="2"/>
  <c r="R15" i="2"/>
  <c r="Q15" i="2"/>
  <c r="D8" i="1"/>
  <c r="R48" i="1"/>
  <c r="D44" i="1" s="1"/>
  <c r="U43" i="1"/>
  <c r="U44" i="1"/>
  <c r="U42" i="1"/>
  <c r="T42" i="1" s="1"/>
  <c r="S38" i="1"/>
  <c r="T38" i="1"/>
  <c r="U38" i="1"/>
  <c r="S39" i="1"/>
  <c r="T39" i="1"/>
  <c r="U39" i="1"/>
  <c r="S40" i="1"/>
  <c r="T40" i="1"/>
  <c r="U40" i="1"/>
  <c r="W27" i="1"/>
  <c r="X27" i="1"/>
  <c r="Y27" i="1"/>
  <c r="W33" i="1"/>
  <c r="X33" i="1"/>
  <c r="Y33" i="1"/>
  <c r="W34" i="1"/>
  <c r="Y34" i="1"/>
  <c r="Y26" i="1"/>
  <c r="X26" i="1"/>
  <c r="W26" i="1"/>
  <c r="X20" i="1"/>
  <c r="W21" i="1"/>
  <c r="X21" i="1"/>
  <c r="Y21" i="1"/>
  <c r="W22" i="1"/>
  <c r="X22" i="1"/>
  <c r="Y22" i="1"/>
  <c r="W23" i="1"/>
  <c r="X23" i="1"/>
  <c r="Y23" i="1"/>
  <c r="W24" i="1"/>
  <c r="X24" i="1"/>
  <c r="Y24" i="1"/>
  <c r="Y20" i="1"/>
  <c r="Y19" i="1"/>
  <c r="X19" i="1"/>
  <c r="W20" i="1"/>
  <c r="W19" i="1"/>
  <c r="AC16" i="1"/>
  <c r="U19" i="1" s="1"/>
  <c r="AC17" i="1"/>
  <c r="AC18" i="1"/>
  <c r="T21" i="1" s="1"/>
  <c r="AC19" i="1"/>
  <c r="S22" i="1" s="1"/>
  <c r="AC20" i="1"/>
  <c r="S23" i="1" s="1"/>
  <c r="AC21" i="1"/>
  <c r="S24" i="1" s="1"/>
  <c r="AC24" i="1"/>
  <c r="U26" i="1" s="1"/>
  <c r="AC25" i="1"/>
  <c r="T27" i="1" s="1"/>
  <c r="AD26" i="1"/>
  <c r="AE26" i="1"/>
  <c r="AF26" i="1"/>
  <c r="AH26" i="1"/>
  <c r="AK26" i="1"/>
  <c r="AM26" i="1"/>
  <c r="AC27" i="1"/>
  <c r="Y48" i="1"/>
  <c r="Y49" i="1"/>
  <c r="Y47" i="1"/>
  <c r="X15" i="1"/>
  <c r="W15" i="1"/>
  <c r="T15" i="1"/>
  <c r="S13" i="1"/>
  <c r="T13" i="1"/>
  <c r="U13" i="1"/>
  <c r="W13" i="1"/>
  <c r="X13" i="1"/>
  <c r="Y13" i="1"/>
  <c r="Y12" i="1"/>
  <c r="U12" i="1"/>
  <c r="R45" i="1" l="1"/>
  <c r="D34" i="1"/>
  <c r="V13" i="1"/>
  <c r="S34" i="1"/>
  <c r="E24" i="1"/>
  <c r="V14" i="1"/>
  <c r="E14" i="1" s="1"/>
  <c r="D13" i="1"/>
  <c r="D33" i="1"/>
  <c r="R13" i="1"/>
  <c r="E17" i="1"/>
  <c r="E18" i="1"/>
  <c r="D35" i="1"/>
  <c r="E13" i="1"/>
  <c r="E22" i="1"/>
  <c r="E21" i="1"/>
  <c r="R5" i="1"/>
  <c r="Y52" i="1"/>
  <c r="R14" i="1"/>
  <c r="D14" i="1" s="1"/>
  <c r="T43" i="1"/>
  <c r="R43" i="1" s="1"/>
  <c r="D38" i="1" s="1"/>
  <c r="T44" i="1"/>
  <c r="T34" i="1"/>
  <c r="U27" i="1"/>
  <c r="T23" i="1"/>
  <c r="S27" i="1"/>
  <c r="U34" i="1"/>
  <c r="B47" i="2"/>
  <c r="C19" i="2"/>
  <c r="C15" i="2"/>
  <c r="B16" i="2"/>
  <c r="B15" i="2"/>
  <c r="B18" i="2"/>
  <c r="B50" i="2"/>
  <c r="C18" i="2"/>
  <c r="C50" i="2"/>
  <c r="C16" i="2"/>
  <c r="C48" i="2"/>
  <c r="C47" i="2"/>
  <c r="M41" i="2"/>
  <c r="L41" i="2"/>
  <c r="S26" i="1"/>
  <c r="R42" i="1"/>
  <c r="X48" i="1"/>
  <c r="V48" i="1" s="1"/>
  <c r="E44" i="1" s="1"/>
  <c r="U23" i="1"/>
  <c r="T20" i="1"/>
  <c r="T26" i="1"/>
  <c r="S20" i="1"/>
  <c r="S21" i="1"/>
  <c r="S19" i="1"/>
  <c r="AC26" i="1"/>
  <c r="S33" i="1" s="1"/>
  <c r="T19" i="1"/>
  <c r="U22" i="1"/>
  <c r="T22" i="1"/>
  <c r="U24" i="1"/>
  <c r="T24" i="1"/>
  <c r="U21" i="1"/>
  <c r="X47" i="1"/>
  <c r="X49" i="1"/>
  <c r="R22" i="1" l="1"/>
  <c r="D24" i="1"/>
  <c r="D22" i="1"/>
  <c r="D17" i="1"/>
  <c r="R20" i="1"/>
  <c r="D21" i="1"/>
  <c r="D18" i="1"/>
  <c r="R23" i="1"/>
  <c r="U28" i="1"/>
  <c r="T28" i="1"/>
  <c r="S28" i="1"/>
  <c r="R44" i="1"/>
  <c r="D39" i="1" s="1"/>
  <c r="V47" i="1"/>
  <c r="E43" i="1" s="1"/>
  <c r="U33" i="1"/>
  <c r="V49" i="1"/>
  <c r="E45" i="1" s="1"/>
  <c r="T33" i="1"/>
  <c r="D23" i="1" l="1"/>
  <c r="AC35" i="1"/>
  <c r="AC34" i="1"/>
  <c r="S37" i="1" l="1"/>
  <c r="T37" i="1"/>
  <c r="U37" i="1"/>
  <c r="T36" i="1"/>
  <c r="S36" i="1"/>
  <c r="U36" i="1"/>
  <c r="D32" i="1" l="1"/>
  <c r="D31" i="1"/>
</calcChain>
</file>

<file path=xl/sharedStrings.xml><?xml version="1.0" encoding="utf-8"?>
<sst xmlns="http://schemas.openxmlformats.org/spreadsheetml/2006/main" count="6385" uniqueCount="547">
  <si>
    <t>Control Children</t>
  </si>
  <si>
    <t>General Characteristics</t>
  </si>
  <si>
    <t>N</t>
  </si>
  <si>
    <t>Age (years)</t>
  </si>
  <si>
    <t xml:space="preserve">Caucasian </t>
  </si>
  <si>
    <t xml:space="preserve">Black / African American </t>
  </si>
  <si>
    <t>Asian</t>
  </si>
  <si>
    <t>SCD Children</t>
  </si>
  <si>
    <t>Notes</t>
  </si>
  <si>
    <t>Physical Exam</t>
  </si>
  <si>
    <t>Phyisological Data</t>
  </si>
  <si>
    <t>Systolic Blood Pressure (mmHg)</t>
  </si>
  <si>
    <t>Diastolic Blood Pressure (mmHg)</t>
  </si>
  <si>
    <t>Mean Arterial Blood Pressure (mmHg)</t>
  </si>
  <si>
    <t>Pulse Oximetry (SpO2, %)</t>
  </si>
  <si>
    <t>Blood Markers</t>
  </si>
  <si>
    <t>Hemoglobin (g/dL)</t>
  </si>
  <si>
    <t>Hematocrit (%)</t>
  </si>
  <si>
    <t>Reticulocytes (10E9/L)</t>
  </si>
  <si>
    <t>p-value (SCD vs. Controls)</t>
  </si>
  <si>
    <t>Resting Optical Properties (cm^-1)</t>
  </si>
  <si>
    <t xml:space="preserve">Mu_a </t>
  </si>
  <si>
    <t>10.0 (N)</t>
  </si>
  <si>
    <t>Mu_s'</t>
  </si>
  <si>
    <t>Resting Hemoglobin Concentration (uM)</t>
  </si>
  <si>
    <t>Oxy-hemoglobin (HbO)</t>
  </si>
  <si>
    <t>x (with IQRs) and N (%pass)</t>
  </si>
  <si>
    <t>Deoxy-hemoglobin (HbR)</t>
  </si>
  <si>
    <t>Total Hemoglobin (HbT)</t>
  </si>
  <si>
    <t>(Resting NIRS-derived advanced parameters)?</t>
  </si>
  <si>
    <t>StO2?</t>
  </si>
  <si>
    <t>CBV</t>
  </si>
  <si>
    <t>OEF</t>
  </si>
  <si>
    <t>(Resting DCS-derived)?</t>
  </si>
  <si>
    <t>Semi-Infinite Model</t>
  </si>
  <si>
    <t>BFi, SDS1</t>
  </si>
  <si>
    <t>BFi, SDS2</t>
  </si>
  <si>
    <t>CVR Examinations (%/mmHg)</t>
  </si>
  <si>
    <t>Breath Hold</t>
  </si>
  <si>
    <t xml:space="preserve">CVR LR </t>
  </si>
  <si>
    <t>CVR LR-SS</t>
  </si>
  <si>
    <t>Resting State</t>
  </si>
  <si>
    <t xml:space="preserve">Last Updated </t>
  </si>
  <si>
    <t>p-value</t>
  </si>
  <si>
    <t>Hydroxyurea</t>
  </si>
  <si>
    <t>Chronic Transfusions</t>
  </si>
  <si>
    <t>Terapeutic Intervention History N (%)</t>
  </si>
  <si>
    <t>Calculations</t>
  </si>
  <si>
    <t>Raw Data</t>
  </si>
  <si>
    <t>SCD BH Cohort</t>
  </si>
  <si>
    <t>Control BH Cohort</t>
  </si>
  <si>
    <t>SCD01 CVR Kid01</t>
  </si>
  <si>
    <t>SCD02 CVR Kid08</t>
  </si>
  <si>
    <t>SCD03 CVR Kid09</t>
  </si>
  <si>
    <t>SCD04 CVR Kid12</t>
  </si>
  <si>
    <t>SCD05 CVR Kid13</t>
  </si>
  <si>
    <t>SCD06 CVR Kid14</t>
  </si>
  <si>
    <t>SCD07 CVR Kid15</t>
  </si>
  <si>
    <t>SCD08 CVR Kid16</t>
  </si>
  <si>
    <t>SCD09 CVR Kid17</t>
  </si>
  <si>
    <t>SCD10 CVR Kid18</t>
  </si>
  <si>
    <t>SCD11 CVR Kid19</t>
  </si>
  <si>
    <t>CVR Kid20 SCD12</t>
  </si>
  <si>
    <t>Control01 CVR Kid02</t>
  </si>
  <si>
    <t>Control02 CVR Kid03</t>
  </si>
  <si>
    <t>Control03 CVR Kid04</t>
  </si>
  <si>
    <t>Control04 CVR Kid05</t>
  </si>
  <si>
    <t>Control05 CVR Kid06</t>
  </si>
  <si>
    <t>Control06 CVR Kid07</t>
  </si>
  <si>
    <t>Control07 CVR Kid10</t>
  </si>
  <si>
    <t>Control08 CVR Kid11</t>
  </si>
  <si>
    <t>CVR Kid 20 Control 09</t>
  </si>
  <si>
    <t>Age (mos)</t>
  </si>
  <si>
    <t>N/A</t>
  </si>
  <si>
    <t>Semi-Infinite</t>
  </si>
  <si>
    <t>3-layer</t>
  </si>
  <si>
    <t>Include only if we do this analysis</t>
  </si>
  <si>
    <t>LR</t>
  </si>
  <si>
    <t>LR-SS</t>
  </si>
  <si>
    <t>Association with Blood Values</t>
  </si>
  <si>
    <t>CVR vs. HcT</t>
  </si>
  <si>
    <t>CVR vs. Hb</t>
  </si>
  <si>
    <t xml:space="preserve">Include Pearson R metric; how to format? </t>
  </si>
  <si>
    <t>CVR vs. OEF</t>
  </si>
  <si>
    <t>CVR vs. CBV</t>
  </si>
  <si>
    <t>CVR vs. HbO</t>
  </si>
  <si>
    <t>CVR vs. HbR</t>
  </si>
  <si>
    <t>CVR vs. HbT</t>
  </si>
  <si>
    <t>CVR vs. BFI</t>
  </si>
  <si>
    <t>Association with Optically-Derived Resting  Values</t>
  </si>
  <si>
    <t>Line of best fit (equation); include CI's?</t>
  </si>
  <si>
    <t>y=1.02x (CIs, Cis)+2.01 (R=x, p=y)</t>
  </si>
  <si>
    <t>HgB F (%)</t>
  </si>
  <si>
    <t>HgB S (%)</t>
  </si>
  <si>
    <t>Ethnicity  N (% of cohort)</t>
  </si>
  <si>
    <t>Median (IQR)</t>
  </si>
  <si>
    <t>Revised ID (DATE of implementation PENDING)</t>
  </si>
  <si>
    <t>SCD07 CVR Kid15 Exam 01</t>
  </si>
  <si>
    <t>SCD07 CVR Kid15 Exam 02</t>
  </si>
  <si>
    <t>SCD08 CVR Kid17</t>
  </si>
  <si>
    <t>SCD09 CVR Kid18</t>
  </si>
  <si>
    <t>SCD10 CVR Kid19</t>
  </si>
  <si>
    <t>SCD11 CVR Kid20</t>
  </si>
  <si>
    <t>SCD12 CVR Kid21</t>
  </si>
  <si>
    <t>SCD13 CVR Kid22</t>
  </si>
  <si>
    <t>CVR Kid24 SCD14</t>
  </si>
  <si>
    <t>CVR Kid25 SCD15</t>
  </si>
  <si>
    <t>CVR KidXX SCD16</t>
  </si>
  <si>
    <t>CVR KidXX SCD17</t>
  </si>
  <si>
    <t>CVR KidXX SCD18</t>
  </si>
  <si>
    <t>CVR KidXX SCD19</t>
  </si>
  <si>
    <t>CVR KidXX SCD20</t>
  </si>
  <si>
    <t>CVR KidXX SCD21</t>
  </si>
  <si>
    <t>CVR KidXX SCD22</t>
  </si>
  <si>
    <t>CVR KidXX SCD23</t>
  </si>
  <si>
    <t>CVR KidXX SCD24</t>
  </si>
  <si>
    <t>CVR KidXX SCD25</t>
  </si>
  <si>
    <t>Total Subjects Available</t>
  </si>
  <si>
    <t>CVR Kid 16 Control 09</t>
  </si>
  <si>
    <t>CVR Kid23 Control10</t>
  </si>
  <si>
    <t>CVR Kid26 Control11</t>
  </si>
  <si>
    <t>CVR Kid27 Control12</t>
  </si>
  <si>
    <t>CVR Kid28 Control13</t>
  </si>
  <si>
    <t>CVR Kid29 Control14</t>
  </si>
  <si>
    <t>CVR KidXX Control15</t>
  </si>
  <si>
    <t>CVR KidXX Control16</t>
  </si>
  <si>
    <t>CVR KidXX Control17</t>
  </si>
  <si>
    <t>CVR KidXX Control18</t>
  </si>
  <si>
    <t>CVR KidXX Control19</t>
  </si>
  <si>
    <t>CVR KidXX Control20</t>
  </si>
  <si>
    <t>CVR KidXX Control21</t>
  </si>
  <si>
    <t>CVR KidXX Control22</t>
  </si>
  <si>
    <t>CVR KidXX Control23</t>
  </si>
  <si>
    <t>CVR KidXX Control24</t>
  </si>
  <si>
    <t>CVR KidXX Control25</t>
  </si>
  <si>
    <t>Current Study ID MM 1/6/23</t>
  </si>
  <si>
    <t>SCD_R07_CVR06</t>
  </si>
  <si>
    <t>SCD_R06_CVR07</t>
  </si>
  <si>
    <t>CVRKid17_SCD09</t>
  </si>
  <si>
    <t>CVRKid18_SCD10</t>
  </si>
  <si>
    <t>CVR Kid21 SCD13</t>
  </si>
  <si>
    <t>CVR Kid22 SCD14</t>
  </si>
  <si>
    <t>Current Study ID KRC 1/6/23</t>
  </si>
  <si>
    <t>Not given</t>
  </si>
  <si>
    <t>F</t>
  </si>
  <si>
    <t>M</t>
  </si>
  <si>
    <t>Yes</t>
  </si>
  <si>
    <t>Median</t>
  </si>
  <si>
    <t>Weight (kg)</t>
  </si>
  <si>
    <t>Weight (percentile, %)</t>
  </si>
  <si>
    <t>Height (cm)</t>
  </si>
  <si>
    <t>Height (percentile, %)</t>
  </si>
  <si>
    <t>BMI ( -)</t>
  </si>
  <si>
    <t>BMI (percentile, %)</t>
  </si>
  <si>
    <t xml:space="preserve">19.31, </t>
  </si>
  <si>
    <t>SCD03 CVR KID09  measurement was on 1/31 but the PE and labs taken closest to that date are both a month apart (on 12/27 and 2/28)</t>
  </si>
  <si>
    <t>IQR (25th percentile)</t>
  </si>
  <si>
    <t>IQR (75th percentile)</t>
  </si>
  <si>
    <t>Text display, Formatted</t>
  </si>
  <si>
    <t>Male N</t>
  </si>
  <si>
    <t>Female N</t>
  </si>
  <si>
    <t>Sex (N, % Female)</t>
  </si>
  <si>
    <t>NaN</t>
  </si>
  <si>
    <t>Statistical Testing</t>
  </si>
  <si>
    <t>Test notes</t>
  </si>
  <si>
    <t>Count</t>
  </si>
  <si>
    <t xml:space="preserve">Percent </t>
  </si>
  <si>
    <t xml:space="preserve"> - </t>
  </si>
  <si>
    <t>Not acquired</t>
  </si>
  <si>
    <t>No</t>
  </si>
  <si>
    <t>Voxelotor</t>
  </si>
  <si>
    <t>Two-sample t-test, unpaired,  unequal variance</t>
  </si>
  <si>
    <t>Pending</t>
  </si>
  <si>
    <t>N.S.</t>
  </si>
  <si>
    <t>NOT age-matched dataset; Displays Entire Cohort</t>
  </si>
  <si>
    <t>Age-matched dataset</t>
  </si>
  <si>
    <t>CVR Kids_GLM01-03_v01_Clean</t>
  </si>
  <si>
    <t xml:space="preserve">Tab: </t>
  </si>
  <si>
    <t>Data Source:</t>
  </si>
  <si>
    <t>SDS2 Data only</t>
  </si>
  <si>
    <t>MatchID</t>
  </si>
  <si>
    <t>Did not pass SemiInf LR QC</t>
  </si>
  <si>
    <t>Needs matching control</t>
  </si>
  <si>
    <t>Median Age Difference (mos)</t>
  </si>
  <si>
    <t>Mean Age Difference (mos)</t>
  </si>
  <si>
    <t>Age Difference (mos)</t>
  </si>
  <si>
    <t>Match Revised Date</t>
  </si>
  <si>
    <t>Age (yrs, mos)</t>
  </si>
  <si>
    <t>12yrs 6 mos</t>
  </si>
  <si>
    <t>9yrs 9mos</t>
  </si>
  <si>
    <t>10yrs 6mos</t>
  </si>
  <si>
    <t>10yrs 11mos</t>
  </si>
  <si>
    <t>14yrs, 10mos</t>
  </si>
  <si>
    <t>15yrs, 8mos</t>
  </si>
  <si>
    <t>18yrs, 8mos</t>
  </si>
  <si>
    <t>18yrs, 0mos</t>
  </si>
  <si>
    <t>14rs, 5mos</t>
  </si>
  <si>
    <t>10yrs, 10mo</t>
  </si>
  <si>
    <t>7yrs, 1mo</t>
  </si>
  <si>
    <t>14rs, 9mos</t>
  </si>
  <si>
    <t>13yrs, 1mo</t>
  </si>
  <si>
    <t>Age (yrs)</t>
  </si>
  <si>
    <t>10yrs 7mos</t>
  </si>
  <si>
    <t>7yrs, 4mos</t>
  </si>
  <si>
    <t>7yrs. 9mos</t>
  </si>
  <si>
    <t>11yrs, 2mos</t>
  </si>
  <si>
    <t>9rs, 3mos</t>
  </si>
  <si>
    <t>9yrs, Xmos</t>
  </si>
  <si>
    <t>6yrs, 9mos</t>
  </si>
  <si>
    <t>13yrs, 5mos</t>
  </si>
  <si>
    <t>8yrs, 8mos</t>
  </si>
  <si>
    <t>11yrs, 10mos</t>
  </si>
  <si>
    <t>14yrs, 9mos</t>
  </si>
  <si>
    <t>15yrs, 0mos</t>
  </si>
  <si>
    <t>Not matched</t>
  </si>
  <si>
    <t>C:\Users\Kyle\OneDrive - Emory University\1_Buckley Lab\CVR SCD Kids Manuscript- LIVE fileshare\Cohort Data\CVR Kids Cohort Data Analysis v02.xlsx</t>
  </si>
  <si>
    <t>CVR Kids_GLM01-03_v01_AgeMatch</t>
  </si>
  <si>
    <t>&lt;0.05</t>
  </si>
  <si>
    <t>Pass Rate Text</t>
  </si>
  <si>
    <t>Manual entry from Tab: SubjectIDs, Exam and Data Avail</t>
  </si>
  <si>
    <t>.</t>
  </si>
  <si>
    <t>N= 6/10</t>
  </si>
  <si>
    <t>N= 4/10</t>
  </si>
  <si>
    <t>N= 6/7</t>
  </si>
  <si>
    <t>N= 3/7</t>
  </si>
  <si>
    <t>N=9/9</t>
  </si>
  <si>
    <t>N=3/3</t>
  </si>
  <si>
    <t>N= 5/10</t>
  </si>
  <si>
    <t>N=5/9</t>
  </si>
  <si>
    <t>N=4/9</t>
  </si>
  <si>
    <t>N=1/3</t>
  </si>
  <si>
    <t>RS Control data not available</t>
  </si>
  <si>
    <t>N= 1/7</t>
  </si>
  <si>
    <t>p=0.07</t>
  </si>
  <si>
    <t>Min</t>
  </si>
  <si>
    <t>Max</t>
  </si>
  <si>
    <t>Hydroxyurea dose at time of study mg</t>
  </si>
  <si>
    <t xml:space="preserve"> LR  statistically successful; however, RS LR, exclusion on the basis of drift in the RS signal; LR-SS is borderlign with p-value at 0.06 which could be accepted I think;  Upon further reflection 2/10, significant signal drift warrants entire subject's exclusion; moot point since A01 BH CVR LR already rejected this data</t>
  </si>
  <si>
    <t>Removed from demogrpahics because no data passed CVR QC for LR BH or RS</t>
  </si>
  <si>
    <t>Rank Sum Tests</t>
  </si>
  <si>
    <t>p-value (Rank Sum via MATLAB)</t>
  </si>
  <si>
    <t>Last Ran</t>
  </si>
  <si>
    <t>Sex (1= Female, 0=Male)</t>
  </si>
  <si>
    <t>CVR vs. Resting BFI</t>
  </si>
  <si>
    <t>CVR vs. Age (months)</t>
  </si>
  <si>
    <t>Format A</t>
  </si>
  <si>
    <t>Format B</t>
  </si>
  <si>
    <t>Assumes presentation of LR numerical method only</t>
  </si>
  <si>
    <t>Table assumes presentation of SemiInf LR numerical method only</t>
  </si>
  <si>
    <t>Format C</t>
  </si>
  <si>
    <t>CVR (median, IQRs)</t>
  </si>
  <si>
    <t>Associations</t>
  </si>
  <si>
    <t>CVR, (median, IQRs), N</t>
  </si>
  <si>
    <t>1.46,  (1.26 , 1.89), 5</t>
  </si>
  <si>
    <t>3.2,  (2.28 , 3.25), 5</t>
  </si>
  <si>
    <t>Placeholders</t>
  </si>
  <si>
    <t>SS</t>
  </si>
  <si>
    <t>0 (0%)</t>
  </si>
  <si>
    <t>CVR Kid30 Control15</t>
  </si>
  <si>
    <t>X passed</t>
  </si>
  <si>
    <t>Y Available</t>
  </si>
  <si>
    <t xml:space="preserve">placeholder displayed; Needs a rerun after SCD enrollment but hopefully still true </t>
  </si>
  <si>
    <t>y=1.02x (CIs, Cis)+2.01; R=x (p=y)</t>
  </si>
  <si>
    <t>CVR (male)</t>
  </si>
  <si>
    <t>CVR (female)</t>
  </si>
  <si>
    <t>1.6,  (1.31 , 1.85), 6</t>
  </si>
  <si>
    <t>CVR Kid32 SCD16</t>
  </si>
  <si>
    <t>CVR Kid31 Control16</t>
  </si>
  <si>
    <t>CVR Kid33 Control17</t>
  </si>
  <si>
    <t>CVR Kid34 Control18</t>
  </si>
  <si>
    <t>https://www.cdc.gov/healthyweight/bmi/calculator.html</t>
  </si>
  <si>
    <t>https://simulconsult.com/resources/measurement.html?type=weight</t>
  </si>
  <si>
    <t>Excluded due to Tau issue</t>
  </si>
  <si>
    <r>
      <rPr>
        <sz val="11"/>
        <rFont val="Calibri"/>
        <family val="2"/>
        <scheme val="minor"/>
      </rPr>
      <t>LR is accepted</t>
    </r>
    <r>
      <rPr>
        <sz val="11"/>
        <color theme="5"/>
        <rFont val="Calibri"/>
        <family val="2"/>
        <scheme val="minor"/>
      </rPr>
      <t xml:space="preserve">; </t>
    </r>
    <r>
      <rPr>
        <sz val="11"/>
        <color rgb="FFFF0000"/>
        <rFont val="Calibri"/>
        <family val="2"/>
        <scheme val="minor"/>
      </rPr>
      <t>LR-SS has a p-value exclusion</t>
    </r>
  </si>
  <si>
    <t>LR and LR-SS P-value exclusion and negative CVR;</t>
  </si>
  <si>
    <t>Total loss of DCS data for BH CVR exam due to laser heating issue</t>
  </si>
  <si>
    <r>
      <t xml:space="preserve">LR acceptable and passes p-value; </t>
    </r>
    <r>
      <rPr>
        <sz val="11"/>
        <color rgb="FFFF0000"/>
        <rFont val="Calibri"/>
        <family val="2"/>
        <scheme val="minor"/>
      </rPr>
      <t>LR-SS negative and does not pass p-value</t>
    </r>
  </si>
  <si>
    <t>Breath Hold Result</t>
  </si>
  <si>
    <t>Sum</t>
  </si>
  <si>
    <t>Age (months)</t>
  </si>
  <si>
    <t xml:space="preserve">Reticulocytes </t>
  </si>
  <si>
    <t>Regresson coefficient BETA (95% C.I)</t>
  </si>
  <si>
    <t>NOT age-matched dataset;</t>
  </si>
  <si>
    <t>Univariate Linear Model Assocations for prediction of CVR in SCD Group</t>
  </si>
  <si>
    <t xml:space="preserve">Weight </t>
  </si>
  <si>
    <t>Height</t>
  </si>
  <si>
    <t>Parameter</t>
  </si>
  <si>
    <t>Units</t>
  </si>
  <si>
    <t>kg</t>
  </si>
  <si>
    <t>cm</t>
  </si>
  <si>
    <t>years</t>
  </si>
  <si>
    <t>Age</t>
  </si>
  <si>
    <t>Sex</t>
  </si>
  <si>
    <t xml:space="preserve"> N (% Female)</t>
  </si>
  <si>
    <t>mmHg</t>
  </si>
  <si>
    <t>Systolic Blood Pressure</t>
  </si>
  <si>
    <t>Diastolic Blood Pressure</t>
  </si>
  <si>
    <t>%</t>
  </si>
  <si>
    <t>AA</t>
  </si>
  <si>
    <t>16 (100%)</t>
  </si>
  <si>
    <t>g/dL</t>
  </si>
  <si>
    <t>Hemoglobin concentration</t>
  </si>
  <si>
    <t xml:space="preserve">Hematocrit </t>
  </si>
  <si>
    <t>Oxygen Saturation</t>
  </si>
  <si>
    <t>Fetal hemoglobin</t>
  </si>
  <si>
    <t>Sickled hemoglobin</t>
  </si>
  <si>
    <t xml:space="preserve">Genotype </t>
  </si>
  <si>
    <t>N (%)</t>
  </si>
  <si>
    <t>Model R, p</t>
  </si>
  <si>
    <t xml:space="preserve"> -0.XX,  -0.XX</t>
  </si>
  <si>
    <t>Breath-hold</t>
  </si>
  <si>
    <t>1.02 (-X.XX, X.XX)</t>
  </si>
  <si>
    <t>Supplemental Table 1</t>
  </si>
  <si>
    <t>Table 2</t>
  </si>
  <si>
    <t xml:space="preserve">Univariate Linear Model Assocations for prediction of CVR </t>
  </si>
  <si>
    <t>Combined Cohort</t>
  </si>
  <si>
    <t xml:space="preserve">Figures Last Updated </t>
  </si>
  <si>
    <t xml:space="preserve">Data in this field  Last Updated </t>
  </si>
  <si>
    <t>Table 3</t>
  </si>
  <si>
    <t>Supplemental Table 2</t>
  </si>
  <si>
    <t>Data Source</t>
  </si>
  <si>
    <t xml:space="preserve"> -0.08 (-0.60, 0.44)</t>
  </si>
  <si>
    <t xml:space="preserve"> -0.17,  0.71</t>
  </si>
  <si>
    <t>C:\0_Primary Data\Cerebrovascular Reactivity-OFFLINE\3_Kids Cohort Analysis\2023-02-22 CVR vs. Blood Labs</t>
  </si>
  <si>
    <t>0.48 (-0.04, 0.99)</t>
  </si>
  <si>
    <t>0.86,  0.06</t>
  </si>
  <si>
    <t xml:space="preserve"> -0.04 (-0.23, 0.15)</t>
  </si>
  <si>
    <t xml:space="preserve"> -0.22,  0.63</t>
  </si>
  <si>
    <t xml:space="preserve"> 0.14 (-0.07, 0.35)</t>
  </si>
  <si>
    <t>0.78,  0.12</t>
  </si>
  <si>
    <t xml:space="preserve"> -0.01 (-0.10, 0.07)</t>
  </si>
  <si>
    <t xml:space="preserve"> -0.16,  0.74</t>
  </si>
  <si>
    <t>0.00 (-0.10, 0.08)</t>
  </si>
  <si>
    <t xml:space="preserve"> -0.12,  0.84</t>
  </si>
  <si>
    <t>0.01 (-0.08, 0.10)</t>
  </si>
  <si>
    <t xml:space="preserve"> 0.15,  0.74</t>
  </si>
  <si>
    <t>0.00 (-0.09, 0.10)</t>
  </si>
  <si>
    <t>0.11,  0.86</t>
  </si>
  <si>
    <t>C:\0_Primary Data\Cerebrovascular Reactivity-OFFLINE\3_Kids Cohort Analysis\2023-02-27 CVR vs. Sex</t>
  </si>
  <si>
    <t>0.17 (-1.08, 1.44)</t>
  </si>
  <si>
    <t>0.09 (-0.99, 1.18)</t>
  </si>
  <si>
    <t>0.04, 0.86</t>
  </si>
  <si>
    <t xml:space="preserve"> -0.22 (-1.79, 1.35)</t>
  </si>
  <si>
    <t>0.09, 0.76</t>
  </si>
  <si>
    <t>0.16, 0.73</t>
  </si>
  <si>
    <t xml:space="preserve"> -0.16 (-1.34, 1.02)</t>
  </si>
  <si>
    <t>0.24, 0.69</t>
  </si>
  <si>
    <t>0.52 (-2.33, 3.38)</t>
  </si>
  <si>
    <t>0.25, 0.64</t>
  </si>
  <si>
    <t>0.14 (-1.04, 1.30)</t>
  </si>
  <si>
    <t>0.09 (0.80)</t>
  </si>
  <si>
    <t xml:space="preserve">Data Source: </t>
  </si>
  <si>
    <t>C:\0_Primary Data\Cerebrovascular Reactivity-OFFLINE\MATLAB Analysis Codes- CVR\CVR Manuscript 03 codes\CVR_Kids_Demographics_statistics_v01.m</t>
  </si>
  <si>
    <t>Heart Rate (BPM)</t>
  </si>
  <si>
    <t>Supplemental Table S2</t>
  </si>
  <si>
    <t>Supplemental Table S1</t>
  </si>
  <si>
    <t>SCD Cohort only</t>
  </si>
  <si>
    <t>C:\0_Primary Data\Cerebrovascular Reactivity-OFFLINE\3_Kids Cohort Analysis\2023-03-09 CVR vs. Sex</t>
  </si>
  <si>
    <t xml:space="preserve"> 0.18 (-1.08, 1.44)</t>
  </si>
  <si>
    <t>0.16,  0.73</t>
  </si>
  <si>
    <t xml:space="preserve"> -0.15 (-0.30, 0.00)</t>
  </si>
  <si>
    <t xml:space="preserve"> -0.42,  0.049*</t>
  </si>
  <si>
    <t xml:space="preserve"> -0.12 (-0.28, 0.03)</t>
  </si>
  <si>
    <t xml:space="preserve"> -0.49, 0.10</t>
  </si>
  <si>
    <t>0.09, 0.80</t>
  </si>
  <si>
    <t>0.02 (-0.21. 0.26)</t>
  </si>
  <si>
    <t>0.12, 0.80</t>
  </si>
  <si>
    <t>0.04 (-0.14, 0.21)</t>
  </si>
  <si>
    <t>0.35, 0.57</t>
  </si>
  <si>
    <t>0.53, 0.28</t>
  </si>
  <si>
    <t>0.00 (0.00 0.01)</t>
  </si>
  <si>
    <t xml:space="preserve"> -0.47, 0.42</t>
  </si>
  <si>
    <t>0.00 (-0.01, 0.01)</t>
  </si>
  <si>
    <t>C:\0_Primary Data\Cerebrovascular Reactivity-OFFLINE\3_Kids Cohort Analysis\2023-03-09 CVR vs. Blood Labs</t>
  </si>
  <si>
    <t>C:\0_Primary Data\Cerebrovascular Reactivity-OFFLINE\3_Kids Cohort Analysis\2023-03-09 CVR vs. Age Correlations</t>
  </si>
  <si>
    <r>
      <rPr>
        <b/>
        <sz val="11"/>
        <color theme="1"/>
        <rFont val="Calibri"/>
        <family val="2"/>
      </rPr>
      <t>β</t>
    </r>
    <r>
      <rPr>
        <b/>
        <sz val="11"/>
        <color theme="1"/>
        <rFont val="Calibri"/>
        <family val="2"/>
        <scheme val="minor"/>
      </rPr>
      <t xml:space="preserve"> (95% C.I)</t>
    </r>
  </si>
  <si>
    <t>Accurate?</t>
  </si>
  <si>
    <t>Subject ID</t>
  </si>
  <si>
    <t>12yrs, 7mos</t>
  </si>
  <si>
    <t>11yrs. 10 mos</t>
  </si>
  <si>
    <t>11yrs, 11mos</t>
  </si>
  <si>
    <t>15yrs, 9mos</t>
  </si>
  <si>
    <t>12yrs, 3mos</t>
  </si>
  <si>
    <t>9yrs, 1mo</t>
  </si>
  <si>
    <t>14yrs, 0mos</t>
  </si>
  <si>
    <t>12yrs, 4mos</t>
  </si>
  <si>
    <t>9yrs, 11mos</t>
  </si>
  <si>
    <t>Breath Hold MatchID</t>
  </si>
  <si>
    <t>Removed (lacks brain sensitivity)</t>
  </si>
  <si>
    <t>Did not pass DCS QC nor SemiInf LR QC</t>
  </si>
  <si>
    <t>Breath Hold Age Difference (mos)</t>
  </si>
  <si>
    <t>Breath Hold Match Revised Date</t>
  </si>
  <si>
    <t>1E10/L</t>
  </si>
  <si>
    <t>Reticulocytes (1E10/L)</t>
  </si>
  <si>
    <t>CVR Kid35 SCD17</t>
  </si>
  <si>
    <t>CVR Kid36 SCD18</t>
  </si>
  <si>
    <t>CVR Kid38 SCD19</t>
  </si>
  <si>
    <t>Removed in A02 due to LR result not meeting QC, but LRSS result meets QC</t>
  </si>
  <si>
    <t>CVR Kid37 Control19</t>
  </si>
  <si>
    <t>No ABP available</t>
  </si>
  <si>
    <t>CVR Kids_v04_batch02e3_AgeMatch</t>
  </si>
  <si>
    <t>Last Updated: 4/5/23</t>
  </si>
  <si>
    <t>(lacks brain sensitivity)</t>
  </si>
  <si>
    <t>Borderline lacks brain sensitivity</t>
  </si>
  <si>
    <t>Total Cohort</t>
  </si>
  <si>
    <t>9yrs, 7mos</t>
  </si>
  <si>
    <t>18yrs, 2mos</t>
  </si>
  <si>
    <t xml:space="preserve"> -0.16 (-0.33, 0.01)</t>
  </si>
  <si>
    <t xml:space="preserve"> -0.39,  0.06</t>
  </si>
  <si>
    <t xml:space="preserve"> -0.69,  0.13</t>
  </si>
  <si>
    <t xml:space="preserve"> -0.19 (-0.68, 0.30)</t>
  </si>
  <si>
    <t xml:space="preserve"> -0.33,  0.39</t>
  </si>
  <si>
    <t xml:space="preserve"> -0.07 (-0.24, 0.09)</t>
  </si>
  <si>
    <t xml:space="preserve"> -0.38,  0.32</t>
  </si>
  <si>
    <t xml:space="preserve"> -0.16 (-0.38, 0.06)</t>
  </si>
  <si>
    <t xml:space="preserve"> -0.47 (-1.16, 0.21)</t>
  </si>
  <si>
    <t>0.70,  0.12</t>
  </si>
  <si>
    <t xml:space="preserve"> -0.05 (-0.13, 0.05)</t>
  </si>
  <si>
    <t xml:space="preserve"> -0.42,  0.27</t>
  </si>
  <si>
    <t xml:space="preserve"> -0.04 (-0.21, 0.13)</t>
  </si>
  <si>
    <t xml:space="preserve"> -0.32,  0.54</t>
  </si>
  <si>
    <t>0.04 (-0.05, 0.14)</t>
  </si>
  <si>
    <t xml:space="preserve"> 0.39,  0.30</t>
  </si>
  <si>
    <t>0.04 (-0.13, 0.22)</t>
  </si>
  <si>
    <t>0.33,  0.52</t>
  </si>
  <si>
    <t>0.00 (-0.09 0.09)</t>
  </si>
  <si>
    <t>0.01, 0.97</t>
  </si>
  <si>
    <t xml:space="preserve"> -0.07 (-0.21, 0.06)</t>
  </si>
  <si>
    <t xml:space="preserve"> -0.59, 0.22</t>
  </si>
  <si>
    <t xml:space="preserve"> -0.13 (-0.28, 0.02)</t>
  </si>
  <si>
    <t xml:space="preserve"> -0.49, 0.07</t>
  </si>
  <si>
    <t xml:space="preserve"> 0.31 (-1.17, 1.79)</t>
  </si>
  <si>
    <t>0.19,  0.63</t>
  </si>
  <si>
    <t>0.08 (-1.11, 1.26)</t>
  </si>
  <si>
    <t>0.03, 0.89</t>
  </si>
  <si>
    <t xml:space="preserve"> -0.81 (-2.79, 1.16)</t>
  </si>
  <si>
    <t>0.50, 0.32</t>
  </si>
  <si>
    <t xml:space="preserve"> -0.18 (-1.27, 0.90)</t>
  </si>
  <si>
    <t xml:space="preserve"> -0.10, 0.72</t>
  </si>
  <si>
    <t xml:space="preserve"> -0.08 (-0.41, 0.26)</t>
  </si>
  <si>
    <t xml:space="preserve"> -0.29, 0.57</t>
  </si>
  <si>
    <t>0.14 (-0.1. 0.38)</t>
  </si>
  <si>
    <t>0.45, 0.22</t>
  </si>
  <si>
    <t>C:\0_Primary Data\Cerebrovascular Reactivity-OFFLINE\3_Kids Cohort Analysis\2023-04-03 CVR vs. Age Correlations</t>
  </si>
  <si>
    <t>C:\0_Primary Data\Cerebrovascular Reactivity-OFFLINE\3_Kids Cohort Analysis\2023-04-03 CVR vs. Sex</t>
  </si>
  <si>
    <t>C:\0_Primary Data\Cerebrovascular Reactivity-OFFLINE\3_Kids Cohort Analysis\2023-04-03CVR vs. Blood Labs</t>
  </si>
  <si>
    <t>C:\0_Primary Data\Cerebrovascular Reactivity-OFFLINE\3_Kids Cohort Analysis\2023-04-03 CVR vs. Blood Labs</t>
  </si>
  <si>
    <r>
      <rPr>
        <b/>
        <sz val="11"/>
        <rFont val="Calibri"/>
        <family val="2"/>
      </rPr>
      <t>β</t>
    </r>
    <r>
      <rPr>
        <b/>
        <sz val="11"/>
        <rFont val="Calibri"/>
        <family val="2"/>
        <scheme val="minor"/>
      </rPr>
      <t xml:space="preserve"> (95% C.I)</t>
    </r>
  </si>
  <si>
    <t>CVR Kid39 SCD20</t>
  </si>
  <si>
    <t>CVR Kid40 SCD21</t>
  </si>
  <si>
    <t>11 (100%)</t>
  </si>
  <si>
    <t xml:space="preserve"> -0.16,  0.67</t>
  </si>
  <si>
    <t xml:space="preserve"> -0.31,  0.46</t>
  </si>
  <si>
    <t xml:space="preserve"> -0.25 (-1.04, 0.52)</t>
  </si>
  <si>
    <t xml:space="preserve"> -0.10 (-0.61, 0.42)</t>
  </si>
  <si>
    <t xml:space="preserve"> -0.07 (-0.29, 0.15)</t>
  </si>
  <si>
    <t xml:space="preserve"> -0.30,  0.47</t>
  </si>
  <si>
    <t xml:space="preserve"> -0.11 (-0.39, 0.16)</t>
  </si>
  <si>
    <t xml:space="preserve"> -0.37,  0.36</t>
  </si>
  <si>
    <t xml:space="preserve"> -0.05 (-0.14, 0.05)</t>
  </si>
  <si>
    <t xml:space="preserve"> -0.41,  0.27</t>
  </si>
  <si>
    <t xml:space="preserve"> 0.01 (-0.10, 0.11)</t>
  </si>
  <si>
    <t>0.07,  0.86</t>
  </si>
  <si>
    <t>0.05 (-0.05, 0.15)</t>
  </si>
  <si>
    <t xml:space="preserve"> 0.38,  0.31</t>
  </si>
  <si>
    <t xml:space="preserve"> -0.01 (-0.11, 0.10)</t>
  </si>
  <si>
    <t xml:space="preserve"> -0.05,  0.90</t>
  </si>
  <si>
    <t>Hydroxyurea Dose</t>
  </si>
  <si>
    <t>0.00 (-0.01 0.01)</t>
  </si>
  <si>
    <t>0.04, 0.93</t>
  </si>
  <si>
    <t xml:space="preserve"> -0.00 (-0.00 0.00)</t>
  </si>
  <si>
    <t xml:space="preserve"> -0.41, 0.36</t>
  </si>
  <si>
    <t xml:space="preserve"> -0.06 (-0.14 0.03)</t>
  </si>
  <si>
    <t xml:space="preserve"> -0.57, 0.14</t>
  </si>
  <si>
    <t>0.04 (-0.09, 0.19)</t>
  </si>
  <si>
    <t>0.32, 0.43</t>
  </si>
  <si>
    <t>0.16 (-0.1. 0.41)</t>
  </si>
  <si>
    <t>0.48, 0.19</t>
  </si>
  <si>
    <t xml:space="preserve"> -0.15 (-0.61, 0.31)</t>
  </si>
  <si>
    <t xml:space="preserve"> -0.31, 0.46</t>
  </si>
  <si>
    <t>C:\0_Primary Data\Cerebrovascular Reactivity-OFFLINE\3_Kids Cohort Analysis\2023-05-04 CVR vs. Age Correlations</t>
  </si>
  <si>
    <t>C:\0_Primary Data\Cerebrovascular Reactivity-OFFLINE\3_Kids Cohort Analysis\2023-05-04 CVR vs. Sex</t>
  </si>
  <si>
    <t>C:\0_Primary Data\Cerebrovascular Reactivity-OFFLINE\3_Kids Cohort Analysis\2023-05-04CVR vs. Blood Labs</t>
  </si>
  <si>
    <t>C:\0_Primary Data\Cerebrovascular Reactivity-OFFLINE\3_Kids Cohort Analysis\2023-05-04 CVR vs. Blood Labs</t>
  </si>
  <si>
    <t>0.47 (-0.67, 1.62)</t>
  </si>
  <si>
    <t>0.19, 0.40</t>
  </si>
  <si>
    <t xml:space="preserve"> 0.41 (-1.25, 2.06)</t>
  </si>
  <si>
    <t>0.58,  0.21</t>
  </si>
  <si>
    <t xml:space="preserve"> -0.27 (-1.78, 1.23)</t>
  </si>
  <si>
    <t xml:space="preserve"> -0.11, 0.71</t>
  </si>
  <si>
    <t xml:space="preserve"> -1.20 (-3.69, 1.28)</t>
  </si>
  <si>
    <t xml:space="preserve"> -0.43, 0.28</t>
  </si>
  <si>
    <t xml:space="preserve"> -0.12 (-0.30, 0.05)</t>
  </si>
  <si>
    <t xml:space="preserve"> -0.30,  0.16</t>
  </si>
  <si>
    <t xml:space="preserve"> -0.15 (-038, 0.08)</t>
  </si>
  <si>
    <t xml:space="preserve"> -0.37, 0.18</t>
  </si>
  <si>
    <t>Brain Sensitive Cohort, v2 validation</t>
  </si>
  <si>
    <t>Highlighted indicates significance; red  = values not updated unless table is inserted in final manuscript</t>
  </si>
  <si>
    <t xml:space="preserve"> -0.07 (-0.12 -0.03)</t>
  </si>
  <si>
    <t xml:space="preserve"> -0.94, 0.02</t>
  </si>
  <si>
    <t>v4 final validation</t>
  </si>
  <si>
    <t>^ENTIRE COHORT</t>
  </si>
  <si>
    <t>Full Cohort, v4 final validation</t>
  </si>
  <si>
    <t>CVR LR  xcorr</t>
  </si>
  <si>
    <t>Full Cohort</t>
  </si>
  <si>
    <t>Breath Hold CVR Associations</t>
  </si>
  <si>
    <t xml:space="preserve"> -0.05 (-0.13 0.02)</t>
  </si>
  <si>
    <t xml:space="preserve"> -0.53, 0.15</t>
  </si>
  <si>
    <t xml:space="preserve"> -0.06 (-0.10, -0.02)*</t>
  </si>
  <si>
    <t>0.90, 0.01*</t>
  </si>
  <si>
    <t>0.37 (-0.83,  1.56)</t>
  </si>
  <si>
    <t>0.14,  0.52</t>
  </si>
  <si>
    <t>0.34 (-1.08,  1.76)</t>
  </si>
  <si>
    <t>0.14,  0.61</t>
  </si>
  <si>
    <t xml:space="preserve"> -0.01 (-0.11, 0.09)</t>
  </si>
  <si>
    <t xml:space="preserve"> -0.07,  0.86</t>
  </si>
  <si>
    <t>0.01 (-0.14, 0.16)</t>
  </si>
  <si>
    <t>0.12,  0.82</t>
  </si>
  <si>
    <t xml:space="preserve"> -0.04 (-0.13, 0.04)</t>
  </si>
  <si>
    <t xml:space="preserve"> -0.38,  0.28</t>
  </si>
  <si>
    <t xml:space="preserve"> -0.01 (-0.10, 0.08)</t>
  </si>
  <si>
    <t xml:space="preserve"> -0.12,  0.80</t>
  </si>
  <si>
    <t xml:space="preserve"> -0.03 (-0.18, 0.12)</t>
  </si>
  <si>
    <t xml:space="preserve"> -0.14,  0.70</t>
  </si>
  <si>
    <t xml:space="preserve"> -0.02 (-0.18, 0.14)</t>
  </si>
  <si>
    <t xml:space="preserve"> -0.13,  0.78</t>
  </si>
  <si>
    <t xml:space="preserve"> -0.06 (-0.51, 0.40)</t>
  </si>
  <si>
    <t xml:space="preserve"> -0.10,  0.78</t>
  </si>
  <si>
    <t xml:space="preserve"> -0.02 (-0.55, 0.51)</t>
  </si>
  <si>
    <t xml:space="preserve"> -0.04,  0.92</t>
  </si>
  <si>
    <t xml:space="preserve"> -0.14 (-0.33,  0.05)</t>
  </si>
  <si>
    <t xml:space="preserve"> -0.31,  0.15</t>
  </si>
  <si>
    <t xml:space="preserve"> -0.28 (-0.53, 0.08)</t>
  </si>
  <si>
    <t xml:space="preserve"> -0.39, 0.13</t>
  </si>
  <si>
    <t>FULL COHORT</t>
  </si>
  <si>
    <t>Brain-Sensitive COHORT</t>
  </si>
  <si>
    <t>PERCENTILE.INC(AA45:AZ45, 0.25)</t>
  </si>
  <si>
    <t>BH Difficuluty Score</t>
  </si>
  <si>
    <t>RS Difficuluty Score</t>
  </si>
  <si>
    <t>exclusive percentiles????????</t>
  </si>
  <si>
    <t>Medications</t>
  </si>
  <si>
    <t>Mean Blood Pressure</t>
  </si>
  <si>
    <t>SCD</t>
  </si>
  <si>
    <t>Control</t>
  </si>
  <si>
    <t>R, p</t>
  </si>
  <si>
    <r>
      <rPr>
        <b/>
        <sz val="11"/>
        <rFont val="Calibri"/>
        <family val="2"/>
      </rPr>
      <t>Estimate</t>
    </r>
    <r>
      <rPr>
        <b/>
        <sz val="11"/>
        <rFont val="Calibri"/>
        <family val="2"/>
        <scheme val="minor"/>
      </rPr>
      <t xml:space="preserve"> (95% C.I.)</t>
    </r>
  </si>
  <si>
    <r>
      <t xml:space="preserve"> BFI</t>
    </r>
    <r>
      <rPr>
        <b/>
        <vertAlign val="subscript"/>
        <sz val="11"/>
        <color theme="1"/>
        <rFont val="Calibri"/>
        <family val="2"/>
      </rPr>
      <t>ρ,short</t>
    </r>
    <r>
      <rPr>
        <b/>
        <sz val="11"/>
        <color theme="1"/>
        <rFont val="Calibri"/>
        <family val="2"/>
      </rPr>
      <t xml:space="preserve"> &lt; BFI</t>
    </r>
    <r>
      <rPr>
        <b/>
        <vertAlign val="subscript"/>
        <sz val="11"/>
        <color theme="1"/>
        <rFont val="Calibri"/>
        <family val="2"/>
      </rPr>
      <t>ρ,long</t>
    </r>
    <r>
      <rPr>
        <b/>
        <sz val="11"/>
        <color theme="1"/>
        <rFont val="Calibri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</si>
</sst>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</font>
    <font>
      <b/>
      <sz val="11"/>
      <color rgb="FF00B050"/>
      <name val="Calibri"/>
      <family val="2"/>
      <scheme val="minor"/>
    </font>
    <font>
      <b/>
      <vertAlign val="subscript"/>
      <sz val="11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A7A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/>
    <xf numFmtId="14" fontId="0" fillId="0" borderId="0" xfId="0" applyNumberFormat="1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7" borderId="0" xfId="0" applyFill="1"/>
    <xf numFmtId="0" fontId="1" fillId="7" borderId="0" xfId="0" applyFont="1" applyFill="1"/>
    <xf numFmtId="0" fontId="0" fillId="3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9" borderId="0" xfId="0" applyFill="1" applyAlignment="1">
      <alignment wrapText="1"/>
    </xf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3" borderId="0" xfId="0" applyFont="1" applyFill="1" applyAlignment="1">
      <alignment wrapText="1"/>
    </xf>
    <xf numFmtId="0" fontId="8" fillId="11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 applyAlignment="1">
      <alignment wrapText="1"/>
    </xf>
    <xf numFmtId="0" fontId="0" fillId="11" borderId="0" xfId="0" applyFill="1" applyAlignment="1">
      <alignment wrapText="1"/>
    </xf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6" xfId="0" applyBorder="1"/>
    <xf numFmtId="0" fontId="4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8" xfId="0" applyBorder="1"/>
    <xf numFmtId="0" fontId="1" fillId="0" borderId="6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0" fillId="0" borderId="0" xfId="0" applyFont="1"/>
    <xf numFmtId="0" fontId="8" fillId="0" borderId="0" xfId="0" applyFont="1"/>
    <xf numFmtId="0" fontId="6" fillId="8" borderId="0" xfId="0" applyFont="1" applyFill="1"/>
    <xf numFmtId="0" fontId="6" fillId="0" borderId="0" xfId="0" applyFont="1"/>
    <xf numFmtId="0" fontId="11" fillId="8" borderId="0" xfId="0" applyFont="1" applyFill="1"/>
    <xf numFmtId="0" fontId="8" fillId="5" borderId="0" xfId="0" applyFont="1" applyFill="1"/>
    <xf numFmtId="0" fontId="0" fillId="14" borderId="0" xfId="0" applyFill="1"/>
    <xf numFmtId="0" fontId="0" fillId="15" borderId="0" xfId="0" applyFill="1" applyAlignment="1">
      <alignment wrapText="1"/>
    </xf>
    <xf numFmtId="0" fontId="0" fillId="14" borderId="0" xfId="0" applyFill="1" applyAlignment="1">
      <alignment wrapText="1"/>
    </xf>
    <xf numFmtId="0" fontId="8" fillId="14" borderId="0" xfId="0" applyFont="1" applyFill="1"/>
    <xf numFmtId="0" fontId="4" fillId="0" borderId="7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8" fillId="16" borderId="0" xfId="0" applyFont="1" applyFill="1"/>
    <xf numFmtId="0" fontId="0" fillId="0" borderId="0" xfId="1" applyNumberFormat="1" applyFont="1" applyFill="1"/>
    <xf numFmtId="0" fontId="1" fillId="10" borderId="0" xfId="0" applyFont="1" applyFill="1" applyAlignment="1">
      <alignment horizontal="center" wrapText="1"/>
    </xf>
    <xf numFmtId="0" fontId="1" fillId="10" borderId="11" xfId="0" applyFont="1" applyFill="1" applyBorder="1" applyAlignment="1">
      <alignment horizontal="center" wrapText="1"/>
    </xf>
    <xf numFmtId="0" fontId="12" fillId="0" borderId="0" xfId="0" applyFont="1"/>
    <xf numFmtId="0" fontId="1" fillId="0" borderId="0" xfId="0" applyFont="1" applyAlignment="1">
      <alignment horizontal="center" wrapText="1"/>
    </xf>
    <xf numFmtId="0" fontId="0" fillId="0" borderId="3" xfId="0" applyBorder="1"/>
    <xf numFmtId="0" fontId="0" fillId="0" borderId="6" xfId="0" applyBorder="1" applyAlignment="1">
      <alignment wrapText="1"/>
    </xf>
    <xf numFmtId="0" fontId="3" fillId="0" borderId="6" xfId="0" applyFont="1" applyBorder="1" applyAlignment="1">
      <alignment horizontal="center" wrapText="1"/>
    </xf>
    <xf numFmtId="0" fontId="0" fillId="0" borderId="13" xfId="0" applyBorder="1"/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left" wrapText="1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17" xfId="0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1" fillId="3" borderId="0" xfId="0" applyFont="1" applyFill="1" applyAlignment="1">
      <alignment wrapText="1"/>
    </xf>
    <xf numFmtId="0" fontId="0" fillId="5" borderId="0" xfId="0" applyFill="1" applyAlignment="1">
      <alignment wrapText="1"/>
    </xf>
    <xf numFmtId="164" fontId="0" fillId="0" borderId="0" xfId="0" applyNumberFormat="1"/>
    <xf numFmtId="164" fontId="0" fillId="0" borderId="7" xfId="0" applyNumberFormat="1" applyBorder="1" applyAlignment="1">
      <alignment horizontal="center" wrapText="1"/>
    </xf>
    <xf numFmtId="2" fontId="0" fillId="0" borderId="0" xfId="0" applyNumberFormat="1"/>
    <xf numFmtId="0" fontId="0" fillId="0" borderId="4" xfId="0" applyBorder="1"/>
    <xf numFmtId="0" fontId="1" fillId="0" borderId="7" xfId="0" applyFont="1" applyBorder="1" applyAlignment="1">
      <alignment horizontal="center" wrapText="1"/>
    </xf>
    <xf numFmtId="0" fontId="8" fillId="8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" fillId="0" borderId="19" xfId="0" applyFont="1" applyBorder="1"/>
    <xf numFmtId="0" fontId="0" fillId="0" borderId="19" xfId="0" applyBorder="1"/>
    <xf numFmtId="0" fontId="1" fillId="0" borderId="3" xfId="0" applyFont="1" applyBorder="1" applyAlignment="1">
      <alignment horizontal="center" wrapText="1"/>
    </xf>
    <xf numFmtId="0" fontId="0" fillId="0" borderId="5" xfId="0" applyBorder="1"/>
    <xf numFmtId="14" fontId="0" fillId="0" borderId="0" xfId="0" applyNumberFormat="1" applyAlignment="1">
      <alignment wrapText="1"/>
    </xf>
    <xf numFmtId="0" fontId="13" fillId="0" borderId="1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0" fillId="0" borderId="6" xfId="0" applyBorder="1" applyAlignment="1">
      <alignment vertical="center"/>
    </xf>
    <xf numFmtId="164" fontId="0" fillId="0" borderId="7" xfId="0" applyNumberForma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1" fillId="0" borderId="26" xfId="0" applyFont="1" applyBorder="1" applyAlignment="1">
      <alignment horizontal="center" wrapText="1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3" fillId="0" borderId="0" xfId="0" applyFont="1"/>
    <xf numFmtId="0" fontId="16" fillId="0" borderId="0" xfId="0" applyFont="1"/>
    <xf numFmtId="0" fontId="8" fillId="2" borderId="0" xfId="0" applyFont="1" applyFill="1"/>
    <xf numFmtId="0" fontId="16" fillId="2" borderId="0" xfId="0" applyFont="1" applyFill="1"/>
    <xf numFmtId="0" fontId="16" fillId="0" borderId="0" xfId="0" applyFont="1" applyAlignment="1">
      <alignment wrapText="1"/>
    </xf>
    <xf numFmtId="0" fontId="0" fillId="0" borderId="21" xfId="0" applyBorder="1"/>
    <xf numFmtId="0" fontId="0" fillId="18" borderId="0" xfId="0" applyFill="1" applyAlignment="1">
      <alignment wrapText="1"/>
    </xf>
    <xf numFmtId="0" fontId="6" fillId="5" borderId="0" xfId="0" applyFont="1" applyFill="1" applyAlignment="1">
      <alignment wrapText="1"/>
    </xf>
    <xf numFmtId="0" fontId="0" fillId="19" borderId="0" xfId="0" applyFill="1"/>
    <xf numFmtId="0" fontId="1" fillId="19" borderId="0" xfId="0" applyFont="1" applyFill="1"/>
    <xf numFmtId="0" fontId="7" fillId="0" borderId="0" xfId="0" applyFont="1"/>
    <xf numFmtId="0" fontId="17" fillId="0" borderId="0" xfId="0" applyFont="1"/>
    <xf numFmtId="0" fontId="7" fillId="0" borderId="1" xfId="0" applyFont="1" applyBorder="1" applyAlignment="1">
      <alignment horizontal="center" wrapText="1"/>
    </xf>
    <xf numFmtId="0" fontId="7" fillId="0" borderId="2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8" fillId="20" borderId="0" xfId="0" applyFont="1" applyFill="1" applyAlignment="1">
      <alignment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0" fillId="0" borderId="31" xfId="0" applyBorder="1"/>
    <xf numFmtId="0" fontId="2" fillId="0" borderId="13" xfId="0" applyFont="1" applyBorder="1" applyAlignment="1">
      <alignment horizontal="center" wrapText="1"/>
    </xf>
    <xf numFmtId="0" fontId="7" fillId="0" borderId="34" xfId="0" applyFont="1" applyBorder="1" applyAlignment="1">
      <alignment horizontal="center" wrapText="1"/>
    </xf>
    <xf numFmtId="0" fontId="0" fillId="0" borderId="13" xfId="0" applyBorder="1" applyAlignment="1">
      <alignment wrapText="1"/>
    </xf>
    <xf numFmtId="0" fontId="8" fillId="0" borderId="34" xfId="0" applyFont="1" applyBorder="1" applyAlignment="1">
      <alignment horizontal="center"/>
    </xf>
    <xf numFmtId="0" fontId="0" fillId="0" borderId="35" xfId="0" applyBorder="1"/>
    <xf numFmtId="0" fontId="8" fillId="0" borderId="2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2" borderId="34" xfId="0" applyFont="1" applyFill="1" applyBorder="1" applyAlignment="1">
      <alignment horizontal="center"/>
    </xf>
    <xf numFmtId="0" fontId="7" fillId="0" borderId="36" xfId="0" applyFont="1" applyBorder="1" applyAlignment="1">
      <alignment horizontal="center" wrapText="1"/>
    </xf>
    <xf numFmtId="0" fontId="8" fillId="0" borderId="36" xfId="0" applyFont="1" applyBorder="1" applyAlignment="1">
      <alignment horizontal="center"/>
    </xf>
    <xf numFmtId="0" fontId="0" fillId="0" borderId="37" xfId="0" applyBorder="1"/>
    <xf numFmtId="0" fontId="2" fillId="0" borderId="41" xfId="0" applyFont="1" applyBorder="1" applyAlignment="1">
      <alignment horizontal="center" wrapText="1"/>
    </xf>
    <xf numFmtId="0" fontId="0" fillId="0" borderId="41" xfId="0" applyBorder="1" applyAlignment="1">
      <alignment wrapText="1"/>
    </xf>
    <xf numFmtId="0" fontId="0" fillId="0" borderId="41" xfId="0" applyBorder="1"/>
    <xf numFmtId="0" fontId="0" fillId="0" borderId="42" xfId="0" applyBorder="1"/>
    <xf numFmtId="0" fontId="8" fillId="0" borderId="43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1" fillId="0" borderId="0" xfId="0" applyFont="1" applyAlignment="1">
      <alignment horizontal="center" wrapText="1"/>
    </xf>
    <xf numFmtId="0" fontId="8" fillId="21" borderId="0" xfId="0" applyFont="1" applyFill="1"/>
    <xf numFmtId="0" fontId="1" fillId="17" borderId="6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7" borderId="7" xfId="0" applyFont="1" applyFill="1" applyBorder="1" applyAlignment="1">
      <alignment horizontal="center"/>
    </xf>
    <xf numFmtId="0" fontId="0" fillId="0" borderId="6" xfId="0" applyBorder="1"/>
    <xf numFmtId="0" fontId="0" fillId="0" borderId="1" xfId="0" applyBorder="1"/>
    <xf numFmtId="164" fontId="1" fillId="17" borderId="7" xfId="0" applyNumberFormat="1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10" borderId="21" xfId="0" applyFont="1" applyFill="1" applyBorder="1" applyAlignment="1">
      <alignment horizontal="center" wrapText="1"/>
    </xf>
    <xf numFmtId="0" fontId="1" fillId="10" borderId="22" xfId="0" applyFont="1" applyFill="1" applyBorder="1" applyAlignment="1">
      <alignment horizontal="center" wrapText="1"/>
    </xf>
    <xf numFmtId="0" fontId="1" fillId="10" borderId="23" xfId="0" applyFont="1" applyFill="1" applyBorder="1" applyAlignment="1">
      <alignment horizontal="center" wrapText="1"/>
    </xf>
    <xf numFmtId="0" fontId="1" fillId="10" borderId="38" xfId="0" applyFont="1" applyFill="1" applyBorder="1" applyAlignment="1">
      <alignment horizontal="center" wrapText="1"/>
    </xf>
    <xf numFmtId="0" fontId="1" fillId="10" borderId="39" xfId="0" applyFont="1" applyFill="1" applyBorder="1" applyAlignment="1">
      <alignment horizontal="center" wrapText="1"/>
    </xf>
    <xf numFmtId="0" fontId="15" fillId="10" borderId="40" xfId="0" applyFont="1" applyFill="1" applyBorder="1" applyAlignment="1">
      <alignment horizontal="center" wrapText="1"/>
    </xf>
    <xf numFmtId="0" fontId="1" fillId="10" borderId="5" xfId="0" applyFont="1" applyFill="1" applyBorder="1" applyAlignment="1">
      <alignment horizontal="center" wrapText="1"/>
    </xf>
    <xf numFmtId="0" fontId="7" fillId="10" borderId="38" xfId="0" applyFont="1" applyFill="1" applyBorder="1" applyAlignment="1">
      <alignment horizontal="center" wrapText="1"/>
    </xf>
    <xf numFmtId="0" fontId="7" fillId="10" borderId="39" xfId="0" applyFont="1" applyFill="1" applyBorder="1" applyAlignment="1">
      <alignment horizontal="center" wrapText="1"/>
    </xf>
    <xf numFmtId="0" fontId="1" fillId="10" borderId="24" xfId="0" applyFont="1" applyFill="1" applyBorder="1" applyAlignment="1">
      <alignment horizontal="center" wrapText="1"/>
    </xf>
    <xf numFmtId="0" fontId="1" fillId="10" borderId="25" xfId="0" applyFont="1" applyFill="1" applyBorder="1" applyAlignment="1">
      <alignment horizontal="center" wrapText="1"/>
    </xf>
    <xf numFmtId="0" fontId="7" fillId="10" borderId="32" xfId="0" applyFont="1" applyFill="1" applyBorder="1" applyAlignment="1">
      <alignment horizontal="center" wrapText="1"/>
    </xf>
    <xf numFmtId="0" fontId="7" fillId="10" borderId="33" xfId="0" applyFont="1" applyFill="1" applyBorder="1" applyAlignment="1">
      <alignment horizontal="center" wrapText="1"/>
    </xf>
    <xf numFmtId="0" fontId="7" fillId="10" borderId="22" xfId="0" applyFont="1" applyFill="1" applyBorder="1" applyAlignment="1">
      <alignment horizontal="center" wrapText="1"/>
    </xf>
    <xf numFmtId="0" fontId="7" fillId="10" borderId="25" xfId="0" applyFont="1" applyFill="1" applyBorder="1" applyAlignment="1">
      <alignment horizontal="center" wrapText="1"/>
    </xf>
    <xf numFmtId="0" fontId="7" fillId="10" borderId="28" xfId="0" applyFont="1" applyFill="1" applyBorder="1" applyAlignment="1">
      <alignment horizontal="center" wrapText="1"/>
    </xf>
    <xf numFmtId="0" fontId="7" fillId="10" borderId="23" xfId="0" applyFont="1" applyFill="1" applyBorder="1" applyAlignment="1">
      <alignment horizontal="center" wrapText="1"/>
    </xf>
    <xf numFmtId="0" fontId="1" fillId="10" borderId="28" xfId="0" applyFont="1" applyFill="1" applyBorder="1" applyAlignment="1">
      <alignment horizontal="center" wrapText="1"/>
    </xf>
    <xf numFmtId="0" fontId="1" fillId="10" borderId="18" xfId="0" applyFont="1" applyFill="1" applyBorder="1" applyAlignment="1">
      <alignment horizontal="center" wrapText="1"/>
    </xf>
    <xf numFmtId="0" fontId="1" fillId="10" borderId="14" xfId="0" applyFont="1" applyFill="1" applyBorder="1" applyAlignment="1">
      <alignment horizontal="center" wrapText="1"/>
    </xf>
    <xf numFmtId="0" fontId="1" fillId="10" borderId="15" xfId="0" applyFont="1" applyFill="1" applyBorder="1" applyAlignment="1">
      <alignment horizontal="center" wrapText="1"/>
    </xf>
    <xf numFmtId="0" fontId="1" fillId="10" borderId="11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10" borderId="0" xfId="0" applyFont="1" applyFill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1362635</xdr:colOff>
      <xdr:row>59</xdr:row>
      <xdr:rowOff>56656</xdr:rowOff>
    </xdr:from>
    <xdr:to>
      <xdr:col>28</xdr:col>
      <xdr:colOff>60985</xdr:colOff>
      <xdr:row>63</xdr:row>
      <xdr:rowOff>197224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667E2E-C5B4-51F1-A584-F9F686BFE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87576" y="13127197"/>
          <a:ext cx="4883997" cy="10639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734A1-0BBF-4A76-9E5B-8F7BE7EB961E}">
  <sheetPr>
    <pageSetUpPr fitToPage="1"/>
  </sheetPr>
  <dimension ref="B1:CF52"/>
  <sheetViews>
    <sheetView tabSelected="1" zoomScale="85" zoomScaleNormal="85" workbookViewId="0">
      <pane xSplit="2" ySplit="7" topLeftCell="X23" activePane="bottomRight" state="frozen"/>
      <selection pane="topRight" activeCell="B1" sqref="B1"/>
      <selection pane="bottomLeft" activeCell="A8" sqref="A8"/>
      <selection pane="bottomRight" activeCell="AC35" sqref="AC35:AD38"/>
    </sheetView>
  </sheetViews>
  <sheetFormatPr defaultRowHeight="14.4" x14ac:dyDescent="0.3"/>
  <cols>
    <col min="1" max="1" width="4" customWidth="1"/>
    <col min="2" max="2" width="27.88671875" customWidth="1"/>
    <col min="3" max="3" width="15.33203125" customWidth="1"/>
    <col min="4" max="4" width="22.5546875" customWidth="1"/>
    <col min="5" max="5" width="21.6640625" customWidth="1"/>
    <col min="6" max="6" width="12.5546875" style="39" customWidth="1"/>
    <col min="7" max="7" width="18.88671875" customWidth="1"/>
    <col min="9" max="9" width="35.5546875" customWidth="1"/>
    <col min="10" max="11" width="15.44140625" customWidth="1"/>
    <col min="12" max="12" width="22.33203125" customWidth="1"/>
    <col min="13" max="14" width="12.6640625" customWidth="1"/>
    <col min="15" max="15" width="47.109375" customWidth="1"/>
    <col min="16" max="16" width="11.44140625" customWidth="1"/>
    <col min="17" max="17" width="15.44140625" customWidth="1"/>
    <col min="18" max="18" width="30.44140625" style="1" customWidth="1"/>
    <col min="19" max="21" width="12.6640625" customWidth="1"/>
    <col min="22" max="22" width="25.109375" customWidth="1"/>
    <col min="23" max="25" width="12.6640625" customWidth="1"/>
    <col min="26" max="26" width="36.33203125" customWidth="1"/>
    <col min="27" max="39" width="12.6640625" customWidth="1"/>
    <col min="42" max="55" width="12.6640625" customWidth="1"/>
    <col min="56" max="56" width="36.109375" customWidth="1"/>
    <col min="57" max="81" width="12.6640625" customWidth="1"/>
  </cols>
  <sheetData>
    <row r="1" spans="2:84" x14ac:dyDescent="0.3">
      <c r="B1" t="s">
        <v>42</v>
      </c>
      <c r="J1" s="11" t="s">
        <v>47</v>
      </c>
      <c r="K1" s="11"/>
      <c r="L1" s="11"/>
      <c r="M1" s="11"/>
      <c r="N1" s="11"/>
      <c r="O1" s="11"/>
      <c r="P1" s="11"/>
      <c r="Q1" s="11"/>
      <c r="R1" s="85"/>
      <c r="S1" s="12"/>
      <c r="T1" s="12"/>
      <c r="U1" s="12"/>
      <c r="V1" s="12"/>
      <c r="W1" s="12"/>
      <c r="X1" s="12"/>
      <c r="Y1" s="12"/>
      <c r="AA1" s="13" t="s">
        <v>48</v>
      </c>
      <c r="AB1" s="13"/>
      <c r="AC1" s="13"/>
      <c r="AD1" s="13"/>
    </row>
    <row r="2" spans="2:84" ht="43.2" x14ac:dyDescent="0.3">
      <c r="B2" s="7">
        <v>45103</v>
      </c>
      <c r="C2" t="s">
        <v>500</v>
      </c>
      <c r="F2" s="40"/>
      <c r="L2" t="s">
        <v>239</v>
      </c>
      <c r="AA2" s="1"/>
      <c r="AB2" s="1"/>
      <c r="AC2" s="1"/>
      <c r="AD2" s="1"/>
      <c r="AE2" s="29" t="s">
        <v>402</v>
      </c>
      <c r="AF2" s="29" t="s">
        <v>402</v>
      </c>
      <c r="AG2" s="1"/>
      <c r="AH2" s="29" t="s">
        <v>402</v>
      </c>
      <c r="AI2" s="29" t="s">
        <v>402</v>
      </c>
      <c r="AJ2" s="29" t="s">
        <v>402</v>
      </c>
      <c r="AK2" s="29"/>
      <c r="AL2" s="29"/>
      <c r="AM2" s="29"/>
      <c r="AN2" s="29"/>
      <c r="AQ2" s="122" t="s">
        <v>403</v>
      </c>
    </row>
    <row r="3" spans="2:84" x14ac:dyDescent="0.3">
      <c r="F3" s="40"/>
      <c r="L3" t="s">
        <v>43</v>
      </c>
      <c r="AA3" s="14"/>
      <c r="AB3" s="15" t="s">
        <v>49</v>
      </c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D3" s="16"/>
      <c r="BE3" s="17"/>
      <c r="BF3" s="17"/>
      <c r="BG3" s="17"/>
      <c r="BH3" s="17"/>
      <c r="BI3" s="18" t="s">
        <v>50</v>
      </c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</row>
    <row r="4" spans="2:84" x14ac:dyDescent="0.3">
      <c r="F4" s="40"/>
      <c r="BD4" s="16"/>
    </row>
    <row r="5" spans="2:84" ht="43.2" x14ac:dyDescent="0.3">
      <c r="F5" s="40"/>
      <c r="R5" s="1" t="str">
        <f>TEXT(S12,"00.00")</f>
        <v>11.17</v>
      </c>
      <c r="Z5" s="1" t="s">
        <v>96</v>
      </c>
      <c r="AA5" s="1" t="s">
        <v>51</v>
      </c>
      <c r="AB5" s="1" t="s">
        <v>52</v>
      </c>
      <c r="AC5" s="1" t="s">
        <v>53</v>
      </c>
      <c r="AD5" s="1" t="s">
        <v>54</v>
      </c>
      <c r="AE5" s="1" t="s">
        <v>55</v>
      </c>
      <c r="AF5" s="1" t="s">
        <v>56</v>
      </c>
      <c r="AG5" s="1" t="s">
        <v>97</v>
      </c>
      <c r="AH5" s="29" t="s">
        <v>98</v>
      </c>
      <c r="AI5" s="29" t="s">
        <v>99</v>
      </c>
      <c r="AJ5" s="29" t="s">
        <v>100</v>
      </c>
      <c r="AK5" s="29" t="s">
        <v>101</v>
      </c>
      <c r="AL5" s="29" t="s">
        <v>102</v>
      </c>
      <c r="AM5" s="29" t="s">
        <v>103</v>
      </c>
      <c r="AN5" s="29" t="s">
        <v>104</v>
      </c>
      <c r="AO5" s="34" t="s">
        <v>105</v>
      </c>
      <c r="AP5" s="34" t="s">
        <v>106</v>
      </c>
      <c r="AQ5" s="19" t="s">
        <v>266</v>
      </c>
      <c r="AR5" s="121" t="s">
        <v>394</v>
      </c>
      <c r="AS5" s="121" t="s">
        <v>395</v>
      </c>
      <c r="AT5" s="36" t="s">
        <v>396</v>
      </c>
      <c r="AU5" s="36" t="s">
        <v>448</v>
      </c>
      <c r="AV5" s="36" t="s">
        <v>449</v>
      </c>
      <c r="AW5" s="1" t="s">
        <v>113</v>
      </c>
      <c r="AX5" s="1" t="s">
        <v>114</v>
      </c>
      <c r="AY5" s="1" t="s">
        <v>115</v>
      </c>
      <c r="AZ5" s="1" t="s">
        <v>116</v>
      </c>
      <c r="BA5" s="1"/>
      <c r="BC5" s="30" t="s">
        <v>117</v>
      </c>
      <c r="BD5" s="16"/>
      <c r="BM5" s="29" t="s">
        <v>118</v>
      </c>
      <c r="BN5" s="31" t="s">
        <v>119</v>
      </c>
      <c r="BO5" s="31" t="s">
        <v>120</v>
      </c>
      <c r="BP5" s="31" t="s">
        <v>121</v>
      </c>
      <c r="BQ5" s="32" t="s">
        <v>122</v>
      </c>
      <c r="BR5" s="32" t="s">
        <v>123</v>
      </c>
      <c r="BS5" s="31" t="s">
        <v>258</v>
      </c>
      <c r="BT5" s="31" t="s">
        <v>267</v>
      </c>
      <c r="BU5" s="31" t="s">
        <v>268</v>
      </c>
      <c r="BV5" s="92" t="s">
        <v>269</v>
      </c>
      <c r="BW5" s="31" t="s">
        <v>398</v>
      </c>
      <c r="BX5" s="33" t="s">
        <v>129</v>
      </c>
      <c r="BY5" s="33" t="s">
        <v>130</v>
      </c>
      <c r="BZ5" s="33" t="s">
        <v>131</v>
      </c>
      <c r="CA5" s="33" t="s">
        <v>132</v>
      </c>
      <c r="CB5" s="33" t="s">
        <v>133</v>
      </c>
      <c r="CC5" s="33" t="s">
        <v>134</v>
      </c>
    </row>
    <row r="6" spans="2:84" ht="43.2" x14ac:dyDescent="0.3">
      <c r="F6" s="40"/>
      <c r="K6" s="38" t="s">
        <v>163</v>
      </c>
      <c r="Z6" t="s">
        <v>135</v>
      </c>
      <c r="AF6" s="1" t="s">
        <v>136</v>
      </c>
      <c r="AG6" s="1" t="s">
        <v>137</v>
      </c>
      <c r="AH6" s="1"/>
      <c r="AI6" s="1" t="s">
        <v>138</v>
      </c>
      <c r="AJ6" s="1" t="s">
        <v>139</v>
      </c>
      <c r="AK6" s="19" t="s">
        <v>61</v>
      </c>
      <c r="AL6" s="34" t="s">
        <v>62</v>
      </c>
      <c r="AM6" s="19" t="s">
        <v>140</v>
      </c>
      <c r="AN6" s="34" t="s">
        <v>141</v>
      </c>
      <c r="BC6">
        <v>12</v>
      </c>
      <c r="BD6" s="16"/>
    </row>
    <row r="7" spans="2:84" ht="43.2" x14ac:dyDescent="0.3">
      <c r="F7" s="40"/>
      <c r="I7" s="28" t="s">
        <v>8</v>
      </c>
      <c r="K7" s="28" t="s">
        <v>158</v>
      </c>
      <c r="L7" s="1" t="s">
        <v>240</v>
      </c>
      <c r="M7" t="s">
        <v>241</v>
      </c>
      <c r="N7" t="s">
        <v>43</v>
      </c>
      <c r="O7" t="s">
        <v>164</v>
      </c>
      <c r="R7" s="86"/>
      <c r="S7" s="15" t="s">
        <v>49</v>
      </c>
      <c r="T7" s="14"/>
      <c r="U7" s="14"/>
      <c r="V7" s="17"/>
      <c r="W7" s="18" t="s">
        <v>50</v>
      </c>
      <c r="X7" s="17"/>
      <c r="Y7" s="17"/>
      <c r="Z7" t="s">
        <v>142</v>
      </c>
      <c r="AA7" s="20" t="s">
        <v>51</v>
      </c>
      <c r="AB7" s="20" t="s">
        <v>52</v>
      </c>
      <c r="AC7" s="19" t="s">
        <v>53</v>
      </c>
      <c r="AD7" s="19" t="s">
        <v>54</v>
      </c>
      <c r="AE7" s="35" t="s">
        <v>55</v>
      </c>
      <c r="AF7" s="35" t="s">
        <v>56</v>
      </c>
      <c r="AG7" s="20" t="s">
        <v>57</v>
      </c>
      <c r="AH7" s="35" t="s">
        <v>58</v>
      </c>
      <c r="AI7" s="20" t="s">
        <v>59</v>
      </c>
      <c r="AJ7" s="35" t="s">
        <v>60</v>
      </c>
      <c r="AK7" s="19" t="s">
        <v>61</v>
      </c>
      <c r="AL7" t="s">
        <v>143</v>
      </c>
      <c r="AM7" s="19" t="s">
        <v>62</v>
      </c>
      <c r="AN7" t="s">
        <v>143</v>
      </c>
      <c r="AO7" s="34" t="s">
        <v>105</v>
      </c>
      <c r="AP7" s="34" t="s">
        <v>106</v>
      </c>
      <c r="AQ7" s="19" t="s">
        <v>266</v>
      </c>
      <c r="AR7" s="121" t="s">
        <v>394</v>
      </c>
      <c r="AS7" s="121" t="s">
        <v>395</v>
      </c>
      <c r="AT7" s="36" t="s">
        <v>396</v>
      </c>
      <c r="AU7" s="36" t="s">
        <v>448</v>
      </c>
      <c r="AV7" s="36" t="s">
        <v>449</v>
      </c>
      <c r="AW7" s="1"/>
      <c r="AX7" s="1"/>
      <c r="AY7" s="1"/>
      <c r="AZ7" s="1"/>
      <c r="BB7" s="1"/>
      <c r="BC7" s="1"/>
      <c r="BD7" s="21"/>
      <c r="BE7" s="19" t="s">
        <v>63</v>
      </c>
      <c r="BF7" s="19" t="s">
        <v>64</v>
      </c>
      <c r="BG7" s="36" t="s">
        <v>65</v>
      </c>
      <c r="BH7" s="22" t="s">
        <v>66</v>
      </c>
      <c r="BI7" s="19" t="s">
        <v>67</v>
      </c>
      <c r="BJ7" s="36" t="s">
        <v>68</v>
      </c>
      <c r="BK7" s="19" t="s">
        <v>69</v>
      </c>
      <c r="BL7" s="19" t="s">
        <v>70</v>
      </c>
      <c r="BM7" s="19" t="s">
        <v>71</v>
      </c>
      <c r="BN7" s="31" t="s">
        <v>119</v>
      </c>
      <c r="BO7" s="31" t="s">
        <v>120</v>
      </c>
      <c r="BP7" s="31" t="s">
        <v>121</v>
      </c>
      <c r="BQ7" s="32" t="s">
        <v>122</v>
      </c>
      <c r="BR7" s="32" t="s">
        <v>123</v>
      </c>
      <c r="BS7" s="31" t="s">
        <v>258</v>
      </c>
      <c r="BT7" s="130" t="s">
        <v>267</v>
      </c>
      <c r="BU7" s="31" t="s">
        <v>268</v>
      </c>
      <c r="BV7" s="92" t="s">
        <v>269</v>
      </c>
      <c r="BW7" s="31" t="s">
        <v>398</v>
      </c>
      <c r="BX7" s="33" t="s">
        <v>129</v>
      </c>
      <c r="BY7" s="33" t="s">
        <v>130</v>
      </c>
      <c r="BZ7" s="33" t="s">
        <v>131</v>
      </c>
      <c r="CA7" s="33" t="s">
        <v>132</v>
      </c>
      <c r="CB7" s="33" t="s">
        <v>133</v>
      </c>
      <c r="CC7" s="33" t="s">
        <v>134</v>
      </c>
    </row>
    <row r="8" spans="2:84" x14ac:dyDescent="0.3">
      <c r="B8" t="s">
        <v>42</v>
      </c>
      <c r="D8" s="7">
        <f>B2</f>
        <v>45103</v>
      </c>
      <c r="BJ8" s="7">
        <v>45016</v>
      </c>
    </row>
    <row r="9" spans="2:84" ht="39" customHeight="1" thickBot="1" x14ac:dyDescent="0.35">
      <c r="F9" s="1"/>
      <c r="G9" s="1"/>
      <c r="K9" t="s">
        <v>351</v>
      </c>
      <c r="R9" s="28" t="s">
        <v>158</v>
      </c>
      <c r="S9" s="28" t="s">
        <v>147</v>
      </c>
      <c r="T9" s="28" t="s">
        <v>156</v>
      </c>
      <c r="U9" s="28" t="s">
        <v>157</v>
      </c>
      <c r="V9" s="28" t="s">
        <v>158</v>
      </c>
      <c r="W9" s="28" t="s">
        <v>147</v>
      </c>
      <c r="X9" s="28" t="s">
        <v>156</v>
      </c>
      <c r="Y9" s="28" t="s">
        <v>157</v>
      </c>
      <c r="Z9" s="28" t="s">
        <v>277</v>
      </c>
      <c r="AB9" s="60" t="s">
        <v>272</v>
      </c>
      <c r="AE9" s="93" t="s">
        <v>273</v>
      </c>
      <c r="AF9" s="29" t="s">
        <v>274</v>
      </c>
      <c r="AG9" s="29" t="s">
        <v>275</v>
      </c>
      <c r="AH9" s="1" t="s">
        <v>276</v>
      </c>
      <c r="AI9" s="29" t="s">
        <v>237</v>
      </c>
      <c r="AJ9" s="60" t="s">
        <v>238</v>
      </c>
      <c r="BJ9" t="s">
        <v>397</v>
      </c>
    </row>
    <row r="10" spans="2:84" ht="15" customHeight="1" x14ac:dyDescent="0.3">
      <c r="B10" s="97" t="s">
        <v>286</v>
      </c>
      <c r="C10" s="46" t="s">
        <v>287</v>
      </c>
      <c r="D10" s="46" t="s">
        <v>542</v>
      </c>
      <c r="E10" s="46" t="s">
        <v>543</v>
      </c>
      <c r="F10" s="47" t="s">
        <v>43</v>
      </c>
      <c r="K10" t="s">
        <v>352</v>
      </c>
      <c r="R10" s="1" t="str">
        <f>CONCATENATE(TEXT(S10,"0.00"), "  (", TEXT(T10,"0.00"), " , ", TEXT(U10,"0.00"), ")")</f>
        <v>11.29  (10.00 , 12.56)</v>
      </c>
      <c r="S10">
        <f>MEDIAN(BE12:CC12, AA12:AZ12)</f>
        <v>11.291666666666666</v>
      </c>
      <c r="T10">
        <f>_xlfn.PERCENTILE.INC((AA12:AZ12, BE12:CC12), 0.25)</f>
        <v>10</v>
      </c>
      <c r="U10">
        <f>_xlfn.PERCENTILE.INC((AA12:AZ12, BE12:CC12), 0.75)</f>
        <v>12.5625</v>
      </c>
      <c r="V10" s="1"/>
      <c r="W10">
        <f>MEDIAN(BE12:CC12)</f>
        <v>11.5</v>
      </c>
    </row>
    <row r="11" spans="2:84" ht="15" customHeight="1" x14ac:dyDescent="0.3">
      <c r="B11" s="163" t="s">
        <v>1</v>
      </c>
      <c r="C11" s="164"/>
      <c r="D11" s="164"/>
      <c r="E11" s="164"/>
      <c r="F11" s="165"/>
      <c r="Q11" s="48"/>
      <c r="R11" s="1" t="s">
        <v>501</v>
      </c>
      <c r="BA11" t="s">
        <v>234</v>
      </c>
      <c r="BB11" t="s">
        <v>235</v>
      </c>
      <c r="CE11" t="s">
        <v>234</v>
      </c>
      <c r="CF11" t="s">
        <v>235</v>
      </c>
    </row>
    <row r="12" spans="2:84" ht="15" customHeight="1" x14ac:dyDescent="0.3">
      <c r="B12" s="48" t="s">
        <v>2</v>
      </c>
      <c r="C12" s="4"/>
      <c r="D12" s="10">
        <v>12</v>
      </c>
      <c r="E12" s="10">
        <v>15</v>
      </c>
      <c r="F12" s="53" t="s">
        <v>167</v>
      </c>
      <c r="L12" s="87"/>
      <c r="M12" s="7"/>
      <c r="Q12" s="48" t="s">
        <v>3</v>
      </c>
      <c r="R12" s="1" t="str">
        <f>CONCATENATE(TEXT(S12,"0.0"), "  (", TEXT(T12,"0.0"), " , ", TEXT(U12,"0.0"), ")")</f>
        <v>11.2  (10.6 , 13.1)</v>
      </c>
      <c r="S12" s="89">
        <f>MEDIAN(AA12:AZ12)</f>
        <v>11.166666666666666</v>
      </c>
      <c r="T12" s="89">
        <f>_xlfn.PERCENTILE.INC(AA12:AZ12, 0.25)</f>
        <v>10.5625</v>
      </c>
      <c r="U12" s="89">
        <f>_xlfn.PERCENTILE.INC(AA12:AZ12, 0.75)</f>
        <v>13.125</v>
      </c>
      <c r="V12" s="1" t="str">
        <f>CONCATENATE(TEXT(W12,"0.0"), "  (", TEXT(X12,"0.0"), " , ", TEXT(Y12,"0.0"), ")")</f>
        <v>11.5  (8.9 , 12.2)</v>
      </c>
      <c r="W12" s="89">
        <f>MEDIAN(BE12:CC12)</f>
        <v>11.5</v>
      </c>
      <c r="X12" s="89">
        <f>_xlfn.PERCENTILE.INC(BE12:CC12, 0.25)</f>
        <v>8.875</v>
      </c>
      <c r="Y12" s="89">
        <f>_xlfn.PERCENTILE.INC(BE12:CC12, 0.75)</f>
        <v>12.229166666666668</v>
      </c>
      <c r="Z12" s="48" t="s">
        <v>3</v>
      </c>
      <c r="AA12" t="s">
        <v>162</v>
      </c>
      <c r="AB12" t="s">
        <v>162</v>
      </c>
      <c r="AC12">
        <f t="shared" ref="AC12:AF12" si="0">AC13/12</f>
        <v>10.5</v>
      </c>
      <c r="AD12">
        <f t="shared" si="0"/>
        <v>10.916666666666666</v>
      </c>
      <c r="AE12">
        <f t="shared" si="0"/>
        <v>14.833333333333334</v>
      </c>
      <c r="AF12">
        <f t="shared" si="0"/>
        <v>9.8333333333333339</v>
      </c>
      <c r="AG12" t="s">
        <v>162</v>
      </c>
      <c r="AH12">
        <v>18</v>
      </c>
      <c r="AI12" t="s">
        <v>162</v>
      </c>
      <c r="AJ12" t="s">
        <v>162</v>
      </c>
      <c r="AK12">
        <f>AK13/12</f>
        <v>10.833333333333334</v>
      </c>
      <c r="AL12" s="27" t="s">
        <v>162</v>
      </c>
      <c r="AM12">
        <f>AM13/12</f>
        <v>14.75</v>
      </c>
      <c r="AN12" s="27" t="s">
        <v>162</v>
      </c>
      <c r="AO12" s="27" t="s">
        <v>162</v>
      </c>
      <c r="AP12" s="27" t="s">
        <v>162</v>
      </c>
      <c r="AQ12">
        <f>AQ13/12</f>
        <v>12.583333333333334</v>
      </c>
      <c r="AR12" s="27" t="s">
        <v>162</v>
      </c>
      <c r="AS12" s="27" t="s">
        <v>162</v>
      </c>
      <c r="AT12">
        <f>AT13/12</f>
        <v>9.5833333333333339</v>
      </c>
      <c r="AU12">
        <v>10.583333333333334</v>
      </c>
      <c r="AV12">
        <v>11.416666666666666</v>
      </c>
      <c r="AW12">
        <v>12.5</v>
      </c>
      <c r="BA12">
        <f>MIN(AA12:AZ12)</f>
        <v>9.5833333333333339</v>
      </c>
      <c r="BB12">
        <f>MAX(AA12:AZ12)</f>
        <v>18</v>
      </c>
      <c r="BD12" s="48" t="s">
        <v>3</v>
      </c>
      <c r="BE12">
        <f>BE13/12</f>
        <v>10.583333333333334</v>
      </c>
      <c r="BF12">
        <f>BF13/12</f>
        <v>7.083333333333333</v>
      </c>
      <c r="BG12" t="s">
        <v>162</v>
      </c>
      <c r="BH12" t="s">
        <v>162</v>
      </c>
      <c r="BI12">
        <f t="shared" ref="BI12:BU12" si="1">BI13/12</f>
        <v>11.166666666666666</v>
      </c>
      <c r="BJ12" t="s">
        <v>162</v>
      </c>
      <c r="BK12">
        <f t="shared" si="1"/>
        <v>9.5</v>
      </c>
      <c r="BL12">
        <f t="shared" si="1"/>
        <v>6.75</v>
      </c>
      <c r="BM12">
        <f t="shared" si="1"/>
        <v>13.416666666666666</v>
      </c>
      <c r="BN12">
        <f t="shared" si="1"/>
        <v>8.6666666666666661</v>
      </c>
      <c r="BO12">
        <f t="shared" si="1"/>
        <v>11.833333333333334</v>
      </c>
      <c r="BP12">
        <f t="shared" si="1"/>
        <v>7.333333333333333</v>
      </c>
      <c r="BQ12">
        <f t="shared" si="1"/>
        <v>15</v>
      </c>
      <c r="BR12">
        <f t="shared" si="1"/>
        <v>11.833333333333334</v>
      </c>
      <c r="BS12">
        <f t="shared" si="1"/>
        <v>11.916666666666666</v>
      </c>
      <c r="BT12" t="s">
        <v>162</v>
      </c>
      <c r="BU12">
        <f t="shared" si="1"/>
        <v>12.333333333333334</v>
      </c>
      <c r="BV12" t="s">
        <v>162</v>
      </c>
      <c r="BW12" s="89">
        <f t="shared" ref="BW12" si="2">BW13/12</f>
        <v>18.166666666666668</v>
      </c>
      <c r="CE12">
        <f>MIN(BE12:CD12)</f>
        <v>6.75</v>
      </c>
      <c r="CF12">
        <f>MAX(BE12:CD12)</f>
        <v>18.166666666666668</v>
      </c>
    </row>
    <row r="13" spans="2:84" ht="15" customHeight="1" x14ac:dyDescent="0.3">
      <c r="B13" s="106" t="s">
        <v>291</v>
      </c>
      <c r="C13" s="10" t="s">
        <v>290</v>
      </c>
      <c r="D13" s="10" t="str">
        <f>R12</f>
        <v>11.2  (10.6 , 13.1)</v>
      </c>
      <c r="E13" s="10" t="str">
        <f>V12</f>
        <v>11.5  (8.9 , 12.2)</v>
      </c>
      <c r="F13" s="107">
        <f>L13</f>
        <v>0.66049999999999998</v>
      </c>
      <c r="J13" s="48" t="s">
        <v>3</v>
      </c>
      <c r="L13" s="87">
        <v>0.66049999999999998</v>
      </c>
      <c r="M13" s="7">
        <v>45056</v>
      </c>
      <c r="Q13" s="48" t="s">
        <v>72</v>
      </c>
      <c r="R13" s="1" t="str">
        <f>CONCATENATE(TEXT(S13,"0.00"), "  (", TEXT(T13,"0.00"), " , ", TEXT(U13,"0.00"), ")")</f>
        <v>134.00  (126.75 , 157.50)</v>
      </c>
      <c r="S13">
        <f>MEDIAN(AA13:AZ13)</f>
        <v>134</v>
      </c>
      <c r="T13">
        <f>_xlfn.PERCENTILE.INC(AA13:AZ13, 0.25)</f>
        <v>126.75</v>
      </c>
      <c r="U13">
        <f>_xlfn.PERCENTILE.INC(AA13:AZ13, 0.75)</f>
        <v>157.5</v>
      </c>
      <c r="V13" s="1" t="str">
        <f t="shared" ref="V13" si="3">CONCATENATE(TEXT(W13,"0.00"), "  (", TEXT(X13,"0.00"), " , ", TEXT(Y13,"0.00"), ")")</f>
        <v>138.00  (106.50 , 146.75)</v>
      </c>
      <c r="W13">
        <f>MEDIAN(BE13:CC13)</f>
        <v>138</v>
      </c>
      <c r="X13">
        <f>_xlfn.PERCENTILE.INC(BE13:CC13, 0.25)</f>
        <v>106.5</v>
      </c>
      <c r="Y13">
        <f>_xlfn.PERCENTILE.INC(BE13:CC13, 0.75)</f>
        <v>146.75</v>
      </c>
      <c r="Z13" s="48" t="s">
        <v>72</v>
      </c>
      <c r="AA13" t="s">
        <v>162</v>
      </c>
      <c r="AB13" t="s">
        <v>162</v>
      </c>
      <c r="AC13">
        <v>126</v>
      </c>
      <c r="AD13">
        <v>131</v>
      </c>
      <c r="AE13">
        <v>178</v>
      </c>
      <c r="AF13">
        <v>118</v>
      </c>
      <c r="AG13" t="s">
        <v>162</v>
      </c>
      <c r="AH13">
        <v>224</v>
      </c>
      <c r="AI13" t="s">
        <v>162</v>
      </c>
      <c r="AJ13" t="s">
        <v>162</v>
      </c>
      <c r="AK13">
        <v>130</v>
      </c>
      <c r="AL13" s="27" t="s">
        <v>162</v>
      </c>
      <c r="AM13">
        <v>177</v>
      </c>
      <c r="AN13" s="27" t="s">
        <v>162</v>
      </c>
      <c r="AO13" s="27" t="s">
        <v>162</v>
      </c>
      <c r="AP13" s="27" t="s">
        <v>162</v>
      </c>
      <c r="AQ13">
        <v>151</v>
      </c>
      <c r="AR13" s="27" t="s">
        <v>162</v>
      </c>
      <c r="AS13" s="27" t="s">
        <v>162</v>
      </c>
      <c r="AT13">
        <v>115</v>
      </c>
      <c r="AU13">
        <v>127</v>
      </c>
      <c r="AV13">
        <v>137</v>
      </c>
      <c r="AW13">
        <v>150</v>
      </c>
      <c r="BD13" s="48" t="s">
        <v>72</v>
      </c>
      <c r="BE13">
        <v>127</v>
      </c>
      <c r="BF13">
        <v>85</v>
      </c>
      <c r="BG13" t="s">
        <v>162</v>
      </c>
      <c r="BH13" t="s">
        <v>162</v>
      </c>
      <c r="BI13">
        <v>134</v>
      </c>
      <c r="BJ13" t="s">
        <v>162</v>
      </c>
      <c r="BK13" s="27">
        <v>114</v>
      </c>
      <c r="BL13" s="1">
        <v>81</v>
      </c>
      <c r="BM13">
        <v>161</v>
      </c>
      <c r="BN13">
        <v>104</v>
      </c>
      <c r="BO13">
        <v>142</v>
      </c>
      <c r="BP13">
        <v>88</v>
      </c>
      <c r="BQ13">
        <v>180</v>
      </c>
      <c r="BR13">
        <v>142</v>
      </c>
      <c r="BS13">
        <v>143</v>
      </c>
      <c r="BT13" t="s">
        <v>162</v>
      </c>
      <c r="BU13">
        <v>148</v>
      </c>
      <c r="BV13" t="s">
        <v>162</v>
      </c>
      <c r="BW13">
        <v>218</v>
      </c>
    </row>
    <row r="14" spans="2:84" ht="15" customHeight="1" x14ac:dyDescent="0.3">
      <c r="B14" s="48" t="s">
        <v>292</v>
      </c>
      <c r="C14" s="10" t="s">
        <v>293</v>
      </c>
      <c r="D14" s="10" t="str">
        <f>R14</f>
        <v>6 (50%)</v>
      </c>
      <c r="E14" s="10" t="str">
        <f>V14</f>
        <v>8 (57.1%)</v>
      </c>
      <c r="F14" s="107" t="s">
        <v>167</v>
      </c>
      <c r="Q14" s="48" t="s">
        <v>161</v>
      </c>
      <c r="R14" s="1" t="str">
        <f>CONCATENATE(T15, " (",TRUNC((T15/(T15+S15))*100,1),"%)")</f>
        <v>6 (50%)</v>
      </c>
      <c r="S14" t="s">
        <v>159</v>
      </c>
      <c r="T14" t="s">
        <v>160</v>
      </c>
      <c r="V14" s="1" t="str">
        <f>CONCATENATE(X15, " (",TRUNC((X15/(X15+W15))*100,1),"%)")</f>
        <v>8 (57.1%)</v>
      </c>
      <c r="W14" t="s">
        <v>159</v>
      </c>
      <c r="X14" t="s">
        <v>160</v>
      </c>
      <c r="Z14" s="48" t="s">
        <v>161</v>
      </c>
      <c r="AA14" t="s">
        <v>162</v>
      </c>
      <c r="AB14" t="s">
        <v>162</v>
      </c>
      <c r="AC14" t="s">
        <v>144</v>
      </c>
      <c r="AD14" t="s">
        <v>145</v>
      </c>
      <c r="AE14" t="s">
        <v>145</v>
      </c>
      <c r="AF14" t="s">
        <v>144</v>
      </c>
      <c r="AG14" t="s">
        <v>162</v>
      </c>
      <c r="AH14" t="s">
        <v>144</v>
      </c>
      <c r="AI14" t="s">
        <v>162</v>
      </c>
      <c r="AJ14" t="s">
        <v>162</v>
      </c>
      <c r="AK14" t="s">
        <v>145</v>
      </c>
      <c r="AL14" s="27" t="s">
        <v>162</v>
      </c>
      <c r="AM14" t="s">
        <v>144</v>
      </c>
      <c r="AN14" s="27" t="s">
        <v>162</v>
      </c>
      <c r="AO14" s="27" t="s">
        <v>162</v>
      </c>
      <c r="AP14" s="27" t="s">
        <v>162</v>
      </c>
      <c r="AQ14" t="s">
        <v>145</v>
      </c>
      <c r="AR14" s="27" t="s">
        <v>162</v>
      </c>
      <c r="AS14" s="27" t="s">
        <v>162</v>
      </c>
      <c r="AT14" t="s">
        <v>145</v>
      </c>
      <c r="AU14" t="s">
        <v>144</v>
      </c>
      <c r="AV14" t="s">
        <v>145</v>
      </c>
      <c r="AW14" t="s">
        <v>144</v>
      </c>
      <c r="BD14" s="48" t="s">
        <v>161</v>
      </c>
      <c r="BE14" t="s">
        <v>144</v>
      </c>
      <c r="BF14" t="s">
        <v>145</v>
      </c>
      <c r="BG14" t="s">
        <v>162</v>
      </c>
      <c r="BH14" t="s">
        <v>162</v>
      </c>
      <c r="BI14" t="s">
        <v>144</v>
      </c>
      <c r="BJ14" t="s">
        <v>162</v>
      </c>
      <c r="BK14" t="s">
        <v>144</v>
      </c>
      <c r="BL14" t="s">
        <v>144</v>
      </c>
      <c r="BM14" t="s">
        <v>145</v>
      </c>
      <c r="BN14" t="s">
        <v>145</v>
      </c>
      <c r="BO14" t="s">
        <v>145</v>
      </c>
      <c r="BP14" t="s">
        <v>144</v>
      </c>
      <c r="BQ14" t="s">
        <v>144</v>
      </c>
      <c r="BR14" t="s">
        <v>145</v>
      </c>
      <c r="BS14" t="s">
        <v>144</v>
      </c>
      <c r="BT14" t="s">
        <v>162</v>
      </c>
      <c r="BU14" t="s">
        <v>144</v>
      </c>
      <c r="BV14" t="s">
        <v>162</v>
      </c>
      <c r="BW14" t="s">
        <v>145</v>
      </c>
    </row>
    <row r="15" spans="2:84" ht="15" customHeight="1" x14ac:dyDescent="0.3">
      <c r="B15" s="166"/>
      <c r="C15" s="167"/>
      <c r="D15" s="10"/>
      <c r="E15" s="10"/>
      <c r="F15" s="107"/>
      <c r="L15" s="87"/>
      <c r="M15" s="7"/>
      <c r="S15">
        <f>COUNTIF(AA14:AZ14, "M")</f>
        <v>6</v>
      </c>
      <c r="T15">
        <f>COUNTIF(AA14:AZ14, "F")</f>
        <v>6</v>
      </c>
      <c r="W15">
        <f>COUNTIF(BE14:CC14, "M")</f>
        <v>6</v>
      </c>
      <c r="X15">
        <f>COUNTIF(BE14:CC14, "F")</f>
        <v>8</v>
      </c>
      <c r="Z15" t="s">
        <v>242</v>
      </c>
      <c r="AA15" t="s">
        <v>162</v>
      </c>
      <c r="AB15" t="s">
        <v>162</v>
      </c>
      <c r="AC15">
        <v>1</v>
      </c>
      <c r="AD15">
        <v>0</v>
      </c>
      <c r="AE15">
        <v>0</v>
      </c>
      <c r="AF15">
        <v>1</v>
      </c>
      <c r="AG15" t="s">
        <v>162</v>
      </c>
      <c r="AH15">
        <v>1</v>
      </c>
      <c r="AI15" t="s">
        <v>162</v>
      </c>
      <c r="AJ15" t="s">
        <v>162</v>
      </c>
      <c r="AK15">
        <v>0</v>
      </c>
      <c r="AL15" t="s">
        <v>162</v>
      </c>
      <c r="AM15">
        <v>1</v>
      </c>
      <c r="AN15" t="s">
        <v>162</v>
      </c>
      <c r="AO15" t="s">
        <v>162</v>
      </c>
      <c r="AP15" t="s">
        <v>162</v>
      </c>
      <c r="AQ15">
        <v>0</v>
      </c>
      <c r="AR15" s="27" t="s">
        <v>162</v>
      </c>
      <c r="AS15" s="27" t="s">
        <v>162</v>
      </c>
      <c r="AT15">
        <v>0</v>
      </c>
      <c r="AU15">
        <v>1</v>
      </c>
      <c r="AV15">
        <v>0</v>
      </c>
      <c r="AW15">
        <v>1</v>
      </c>
      <c r="BD15" t="s">
        <v>242</v>
      </c>
      <c r="BE15">
        <v>1</v>
      </c>
      <c r="BF15">
        <v>0</v>
      </c>
      <c r="BG15" t="s">
        <v>162</v>
      </c>
      <c r="BH15" t="s">
        <v>162</v>
      </c>
      <c r="BI15">
        <v>1</v>
      </c>
      <c r="BJ15" t="s">
        <v>162</v>
      </c>
      <c r="BK15">
        <v>1</v>
      </c>
      <c r="BL15">
        <v>1</v>
      </c>
      <c r="BM15">
        <v>0</v>
      </c>
      <c r="BN15">
        <v>0</v>
      </c>
      <c r="BO15">
        <v>0</v>
      </c>
      <c r="BP15">
        <v>1</v>
      </c>
      <c r="BQ15">
        <v>1</v>
      </c>
      <c r="BR15">
        <v>0</v>
      </c>
      <c r="BS15">
        <v>1</v>
      </c>
      <c r="BT15" t="s">
        <v>162</v>
      </c>
      <c r="BU15">
        <v>1</v>
      </c>
      <c r="BV15" t="s">
        <v>162</v>
      </c>
      <c r="BW15">
        <v>0</v>
      </c>
    </row>
    <row r="16" spans="2:84" ht="15" customHeight="1" x14ac:dyDescent="0.3">
      <c r="B16" s="163" t="s">
        <v>9</v>
      </c>
      <c r="C16" s="164"/>
      <c r="D16" s="164"/>
      <c r="E16" s="164"/>
      <c r="F16" s="168"/>
      <c r="J16" s="4" t="s">
        <v>148</v>
      </c>
      <c r="L16" s="87">
        <v>0.93089999999999995</v>
      </c>
      <c r="M16" s="7">
        <v>45056</v>
      </c>
      <c r="Z16" s="4" t="s">
        <v>148</v>
      </c>
      <c r="AA16" t="s">
        <v>162</v>
      </c>
      <c r="AB16" t="s">
        <v>162</v>
      </c>
      <c r="AC16">
        <f>AVERAGE(26.7, 27.1)</f>
        <v>26.9</v>
      </c>
      <c r="AD16">
        <v>49.9</v>
      </c>
      <c r="AE16">
        <v>85.4</v>
      </c>
      <c r="AF16">
        <v>45.2</v>
      </c>
      <c r="AG16" t="s">
        <v>162</v>
      </c>
      <c r="AH16">
        <v>69.8</v>
      </c>
      <c r="AI16" t="s">
        <v>162</v>
      </c>
      <c r="AJ16" t="s">
        <v>162</v>
      </c>
      <c r="AK16">
        <v>31.4</v>
      </c>
      <c r="AL16" s="27" t="s">
        <v>162</v>
      </c>
      <c r="AM16">
        <v>45.6</v>
      </c>
      <c r="AN16" s="27" t="s">
        <v>162</v>
      </c>
      <c r="AO16" s="27" t="s">
        <v>162</v>
      </c>
      <c r="AP16" s="27" t="s">
        <v>162</v>
      </c>
      <c r="AQ16">
        <v>34.700000000000003</v>
      </c>
      <c r="AR16" s="27" t="s">
        <v>162</v>
      </c>
      <c r="AS16" s="27" t="s">
        <v>162</v>
      </c>
      <c r="AT16">
        <v>21.7</v>
      </c>
      <c r="AU16">
        <v>41.2</v>
      </c>
      <c r="AV16">
        <v>35.700000000000003</v>
      </c>
      <c r="AW16">
        <v>38.299999999999997</v>
      </c>
      <c r="BD16" s="4" t="s">
        <v>148</v>
      </c>
      <c r="BE16">
        <v>44.2</v>
      </c>
      <c r="BF16">
        <v>25.5</v>
      </c>
      <c r="BG16" t="s">
        <v>162</v>
      </c>
      <c r="BH16" t="s">
        <v>162</v>
      </c>
      <c r="BI16">
        <v>45.6</v>
      </c>
      <c r="BJ16" t="s">
        <v>162</v>
      </c>
      <c r="BK16" t="s">
        <v>162</v>
      </c>
      <c r="BL16" t="s">
        <v>162</v>
      </c>
      <c r="BM16">
        <v>49.89</v>
      </c>
      <c r="BN16">
        <v>25.67</v>
      </c>
      <c r="BO16">
        <v>58.5</v>
      </c>
      <c r="BP16">
        <v>23.7</v>
      </c>
      <c r="BQ16">
        <v>62.5</v>
      </c>
      <c r="BR16">
        <v>44.2</v>
      </c>
      <c r="BS16">
        <v>31.4</v>
      </c>
      <c r="BT16" t="s">
        <v>162</v>
      </c>
      <c r="BU16">
        <v>42.2</v>
      </c>
      <c r="BV16" t="s">
        <v>162</v>
      </c>
      <c r="BW16">
        <v>66.5</v>
      </c>
    </row>
    <row r="17" spans="2:79" ht="15" customHeight="1" x14ac:dyDescent="0.3">
      <c r="B17" s="106" t="s">
        <v>284</v>
      </c>
      <c r="C17" s="10" t="s">
        <v>288</v>
      </c>
      <c r="D17" s="9" t="str">
        <f>R19</f>
        <v>40  (34 , 47)</v>
      </c>
      <c r="E17" s="9" t="str">
        <f>V19</f>
        <v>44  (30 , 52)</v>
      </c>
      <c r="F17" s="88">
        <f>L16</f>
        <v>0.93089999999999995</v>
      </c>
      <c r="J17" s="4" t="s">
        <v>149</v>
      </c>
      <c r="L17" s="87">
        <v>0.2601</v>
      </c>
      <c r="M17" s="7">
        <v>45056</v>
      </c>
      <c r="R17" s="28" t="s">
        <v>158</v>
      </c>
      <c r="S17" s="38" t="s">
        <v>147</v>
      </c>
      <c r="T17" s="38" t="s">
        <v>156</v>
      </c>
      <c r="U17" s="38" t="s">
        <v>157</v>
      </c>
      <c r="V17" s="38" t="s">
        <v>158</v>
      </c>
      <c r="W17" s="38" t="s">
        <v>147</v>
      </c>
      <c r="X17" s="38" t="s">
        <v>156</v>
      </c>
      <c r="Y17" s="38" t="s">
        <v>157</v>
      </c>
      <c r="Z17" s="4" t="s">
        <v>149</v>
      </c>
      <c r="AA17" t="s">
        <v>162</v>
      </c>
      <c r="AB17" t="s">
        <v>162</v>
      </c>
      <c r="AC17">
        <f>AVERAGE(6.8, 6.42)</f>
        <v>6.6099999999999994</v>
      </c>
      <c r="AD17">
        <v>93.09</v>
      </c>
      <c r="AE17">
        <v>97.96</v>
      </c>
      <c r="AF17">
        <v>14.45</v>
      </c>
      <c r="AG17" t="s">
        <v>162</v>
      </c>
      <c r="AH17">
        <v>85.53</v>
      </c>
      <c r="AI17" t="s">
        <v>162</v>
      </c>
      <c r="AJ17" t="s">
        <v>162</v>
      </c>
      <c r="AK17">
        <v>25.44</v>
      </c>
      <c r="AL17" s="27" t="s">
        <v>162</v>
      </c>
      <c r="AM17">
        <v>22.68</v>
      </c>
      <c r="AN17" s="27" t="s">
        <v>162</v>
      </c>
      <c r="AO17" s="27" t="s">
        <v>162</v>
      </c>
      <c r="AP17" s="27" t="s">
        <v>162</v>
      </c>
      <c r="AQ17">
        <v>10.09</v>
      </c>
      <c r="AR17" s="27" t="s">
        <v>162</v>
      </c>
      <c r="AS17" s="27" t="s">
        <v>162</v>
      </c>
      <c r="AT17">
        <v>23</v>
      </c>
      <c r="AU17">
        <v>78.13</v>
      </c>
      <c r="AV17">
        <v>37.049999999999997</v>
      </c>
      <c r="AW17">
        <v>23</v>
      </c>
      <c r="BD17" s="4" t="s">
        <v>149</v>
      </c>
      <c r="BE17" s="70">
        <v>82</v>
      </c>
      <c r="BF17" s="70">
        <v>62</v>
      </c>
      <c r="BG17" t="s">
        <v>162</v>
      </c>
      <c r="BH17" t="s">
        <v>162</v>
      </c>
      <c r="BI17" s="70">
        <v>77</v>
      </c>
      <c r="BJ17" t="s">
        <v>162</v>
      </c>
      <c r="BK17" t="s">
        <v>162</v>
      </c>
      <c r="BL17" t="s">
        <v>162</v>
      </c>
      <c r="BM17" s="70">
        <v>58</v>
      </c>
      <c r="BN17" s="70">
        <v>32</v>
      </c>
      <c r="BO17" s="70">
        <v>96</v>
      </c>
      <c r="BP17" s="70">
        <v>52</v>
      </c>
      <c r="BQ17" s="70">
        <v>76</v>
      </c>
      <c r="BR17" s="70">
        <v>68</v>
      </c>
      <c r="BS17" s="70">
        <v>7</v>
      </c>
      <c r="BT17" t="s">
        <v>162</v>
      </c>
      <c r="BU17" s="70">
        <v>49</v>
      </c>
      <c r="BV17" t="s">
        <v>162</v>
      </c>
      <c r="BW17">
        <v>50</v>
      </c>
    </row>
    <row r="18" spans="2:79" ht="15" customHeight="1" x14ac:dyDescent="0.3">
      <c r="B18" s="106" t="s">
        <v>285</v>
      </c>
      <c r="C18" s="10" t="s">
        <v>289</v>
      </c>
      <c r="D18" s="9" t="str">
        <f>R21</f>
        <v>144  (142 , 155)</v>
      </c>
      <c r="E18" s="9" t="str">
        <f>V21</f>
        <v>153  (141 , 160)</v>
      </c>
      <c r="F18" s="88">
        <f>L18</f>
        <v>0.62350000000000005</v>
      </c>
      <c r="J18" s="4" t="s">
        <v>150</v>
      </c>
      <c r="K18" s="1"/>
      <c r="L18" s="87">
        <v>0.62350000000000005</v>
      </c>
      <c r="M18" s="7">
        <v>45056</v>
      </c>
      <c r="Z18" s="4" t="s">
        <v>150</v>
      </c>
      <c r="AA18" t="s">
        <v>162</v>
      </c>
      <c r="AB18" t="s">
        <v>162</v>
      </c>
      <c r="AC18">
        <f>AVERAGE(134.5, 135.6)</f>
        <v>135.05000000000001</v>
      </c>
      <c r="AD18">
        <v>144</v>
      </c>
      <c r="AE18">
        <v>183.5</v>
      </c>
      <c r="AF18">
        <v>153</v>
      </c>
      <c r="AG18" t="s">
        <v>162</v>
      </c>
      <c r="AH18">
        <v>160</v>
      </c>
      <c r="AI18" t="s">
        <v>162</v>
      </c>
      <c r="AJ18" t="s">
        <v>162</v>
      </c>
      <c r="AK18">
        <v>141</v>
      </c>
      <c r="AL18" s="27" t="s">
        <v>162</v>
      </c>
      <c r="AM18">
        <v>160.5</v>
      </c>
      <c r="AN18" s="27" t="s">
        <v>162</v>
      </c>
      <c r="AO18" s="27" t="s">
        <v>162</v>
      </c>
      <c r="AP18" s="27" t="s">
        <v>162</v>
      </c>
      <c r="AQ18">
        <v>144.5</v>
      </c>
      <c r="AR18" s="27" t="s">
        <v>162</v>
      </c>
      <c r="AS18" s="27" t="s">
        <v>162</v>
      </c>
      <c r="AT18">
        <v>132</v>
      </c>
      <c r="AU18">
        <v>144</v>
      </c>
      <c r="AV18">
        <v>142.5</v>
      </c>
      <c r="AW18">
        <v>144.9</v>
      </c>
      <c r="BD18" s="4" t="s">
        <v>150</v>
      </c>
      <c r="BE18">
        <v>151</v>
      </c>
      <c r="BF18">
        <v>126.5</v>
      </c>
      <c r="BG18" t="s">
        <v>162</v>
      </c>
      <c r="BH18" t="s">
        <v>162</v>
      </c>
      <c r="BI18">
        <v>156</v>
      </c>
      <c r="BJ18" t="s">
        <v>162</v>
      </c>
      <c r="BK18" t="s">
        <v>162</v>
      </c>
      <c r="BL18" t="s">
        <v>162</v>
      </c>
      <c r="BM18">
        <v>165.1</v>
      </c>
      <c r="BN18" s="58">
        <v>133.5</v>
      </c>
      <c r="BO18">
        <v>154.6</v>
      </c>
      <c r="BP18">
        <v>127.3</v>
      </c>
      <c r="BQ18">
        <v>171.58</v>
      </c>
      <c r="BR18">
        <v>158</v>
      </c>
      <c r="BS18">
        <v>143.19999999999999</v>
      </c>
      <c r="BT18" t="s">
        <v>162</v>
      </c>
      <c r="BU18">
        <v>151</v>
      </c>
      <c r="BV18" t="s">
        <v>162</v>
      </c>
      <c r="BW18">
        <v>171</v>
      </c>
    </row>
    <row r="19" spans="2:79" ht="15" customHeight="1" x14ac:dyDescent="0.3">
      <c r="B19" s="48"/>
      <c r="C19" s="4"/>
      <c r="D19" s="9"/>
      <c r="E19" s="9"/>
      <c r="F19" s="53"/>
      <c r="J19" s="4" t="s">
        <v>151</v>
      </c>
      <c r="L19" s="87">
        <v>1.0200000000000001E-2</v>
      </c>
      <c r="M19" s="7">
        <v>45056</v>
      </c>
      <c r="Q19" s="4" t="s">
        <v>148</v>
      </c>
      <c r="R19" s="1" t="str">
        <f>CONCATENATE(TEXT(S19,"0"), "  (", TEXT(T19,"0"), " , ", TEXT(U19,"0"), ")")</f>
        <v>40  (34 , 47)</v>
      </c>
      <c r="S19">
        <f>MEDIAN(AA16:AZ16)</f>
        <v>39.75</v>
      </c>
      <c r="T19">
        <f>_xlfn.PERCENTILE.INC(AA16:AZ16, 0.25)</f>
        <v>33.875</v>
      </c>
      <c r="U19">
        <f>_xlfn.PERCENTILE.INC(AA16:AZ16, 0.75)</f>
        <v>46.674999999999997</v>
      </c>
      <c r="V19" s="1" t="str">
        <f>CONCATENATE(TEXT(W19,"0"), "  (", TEXT(X19,"0"), " , ", TEXT(Y19,"0"), ")")</f>
        <v>44  (30 , 52)</v>
      </c>
      <c r="W19">
        <f>MEDIAN(BE16:CC16)</f>
        <v>44.2</v>
      </c>
      <c r="X19">
        <f>_xlfn.PERCENTILE.INC(BE16:CC16, 0.25)</f>
        <v>29.967500000000001</v>
      </c>
      <c r="Y19">
        <f>_xlfn.PERCENTILE.INC(BE16:CC16, 0.75)</f>
        <v>52.042500000000004</v>
      </c>
      <c r="Z19" s="4" t="s">
        <v>151</v>
      </c>
      <c r="AA19" t="s">
        <v>162</v>
      </c>
      <c r="AB19" t="s">
        <v>162</v>
      </c>
      <c r="AC19">
        <f>AVERAGE(19.02, 19.64)</f>
        <v>19.329999999999998</v>
      </c>
      <c r="AD19">
        <v>53.25</v>
      </c>
      <c r="AE19">
        <v>97.15</v>
      </c>
      <c r="AF19">
        <v>7.52</v>
      </c>
      <c r="AG19" t="s">
        <v>162</v>
      </c>
      <c r="AH19">
        <v>30.98</v>
      </c>
      <c r="AI19" t="s">
        <v>162</v>
      </c>
      <c r="AJ19" t="s">
        <v>162</v>
      </c>
      <c r="AK19">
        <v>39.33</v>
      </c>
      <c r="AL19" s="27" t="s">
        <v>162</v>
      </c>
      <c r="AM19">
        <v>42.81</v>
      </c>
      <c r="AN19" s="27" t="s">
        <v>162</v>
      </c>
      <c r="AO19" s="27" t="s">
        <v>162</v>
      </c>
      <c r="AP19" s="27" t="s">
        <v>162</v>
      </c>
      <c r="AQ19">
        <v>12.15</v>
      </c>
      <c r="AR19" s="27" t="s">
        <v>162</v>
      </c>
      <c r="AS19" s="27" t="s">
        <v>162</v>
      </c>
      <c r="AT19">
        <v>24</v>
      </c>
      <c r="AU19">
        <v>65.83</v>
      </c>
      <c r="AV19">
        <v>31.27</v>
      </c>
      <c r="AW19">
        <v>8</v>
      </c>
      <c r="BD19" s="4" t="s">
        <v>151</v>
      </c>
      <c r="BE19">
        <v>93</v>
      </c>
      <c r="BF19">
        <v>81</v>
      </c>
      <c r="BG19" t="s">
        <v>162</v>
      </c>
      <c r="BH19" t="s">
        <v>162</v>
      </c>
      <c r="BI19">
        <v>95</v>
      </c>
      <c r="BJ19" t="s">
        <v>162</v>
      </c>
      <c r="BK19" t="s">
        <v>162</v>
      </c>
      <c r="BL19" t="s">
        <v>162</v>
      </c>
      <c r="BM19">
        <v>82</v>
      </c>
      <c r="BN19" s="58">
        <v>66</v>
      </c>
      <c r="BO19">
        <v>84</v>
      </c>
      <c r="BP19">
        <v>77</v>
      </c>
      <c r="BQ19">
        <v>94</v>
      </c>
      <c r="BR19">
        <v>93</v>
      </c>
      <c r="BS19">
        <v>20</v>
      </c>
      <c r="BT19" t="s">
        <v>162</v>
      </c>
      <c r="BU19">
        <v>44</v>
      </c>
      <c r="BV19" t="s">
        <v>162</v>
      </c>
      <c r="BW19">
        <v>28</v>
      </c>
    </row>
    <row r="20" spans="2:79" ht="15" customHeight="1" x14ac:dyDescent="0.3">
      <c r="B20" s="163" t="s">
        <v>10</v>
      </c>
      <c r="C20" s="164"/>
      <c r="D20" s="164"/>
      <c r="E20" s="164"/>
      <c r="F20" s="165"/>
      <c r="J20" s="4" t="s">
        <v>152</v>
      </c>
      <c r="L20" s="87"/>
      <c r="M20" s="7"/>
      <c r="Q20" s="4" t="s">
        <v>149</v>
      </c>
      <c r="R20" s="1" t="str">
        <f t="shared" ref="R20:R22" si="4">CONCATENATE(TEXT(S20,"0.00"), "  (", TEXT(T20,"0.00"), " , ", TEXT(U20,"0.00"), ")")</f>
        <v>24.22  (20.62 , 0.00)</v>
      </c>
      <c r="S20">
        <f>MEDIAN(AA17:AZ17)</f>
        <v>24.22</v>
      </c>
      <c r="T20">
        <f>_xlfn.PERCENTILE.INC(AA17:AZ17, 0.25)</f>
        <v>20.622499999999999</v>
      </c>
      <c r="V20" s="1" t="str">
        <f t="shared" ref="V20:V22" si="5">CONCATENATE(TEXT(W20,"0.00"), "  (", TEXT(X20,"0.00"), " , ", TEXT(Y20,"0.00"), ")")</f>
        <v>60.00  (49.75 , 76.25)</v>
      </c>
      <c r="W20">
        <f>MEDIAN(BE17:CC17)</f>
        <v>60</v>
      </c>
      <c r="X20">
        <f>_xlfn.PERCENTILE.INC(BE17:CC17, 0.25)</f>
        <v>49.75</v>
      </c>
      <c r="Y20">
        <f>_xlfn.PERCENTILE.INC(BE17:CC17, 0.75)</f>
        <v>76.25</v>
      </c>
      <c r="Z20" s="4" t="s">
        <v>152</v>
      </c>
      <c r="AA20" t="s">
        <v>162</v>
      </c>
      <c r="AB20" t="s">
        <v>162</v>
      </c>
      <c r="AC20">
        <f>AVERAGE(14.76, 14.74)</f>
        <v>14.75</v>
      </c>
      <c r="AD20">
        <v>24.06</v>
      </c>
      <c r="AE20">
        <v>25.36</v>
      </c>
      <c r="AF20" t="s">
        <v>154</v>
      </c>
      <c r="AG20" t="s">
        <v>162</v>
      </c>
      <c r="AH20">
        <v>27.27</v>
      </c>
      <c r="AI20" t="s">
        <v>162</v>
      </c>
      <c r="AJ20" t="s">
        <v>162</v>
      </c>
      <c r="AK20">
        <v>15.82</v>
      </c>
      <c r="AL20" s="27" t="s">
        <v>162</v>
      </c>
      <c r="AM20">
        <v>17.7</v>
      </c>
      <c r="AN20" s="27" t="s">
        <v>162</v>
      </c>
      <c r="AO20" s="27" t="s">
        <v>162</v>
      </c>
      <c r="AP20" s="27" t="s">
        <v>162</v>
      </c>
      <c r="AQ20">
        <v>16.62</v>
      </c>
      <c r="AR20" s="27" t="s">
        <v>162</v>
      </c>
      <c r="AS20" s="27" t="s">
        <v>162</v>
      </c>
      <c r="AT20">
        <v>15.55</v>
      </c>
      <c r="AU20">
        <v>20.6</v>
      </c>
      <c r="AV20">
        <v>17.579999999999998</v>
      </c>
      <c r="AW20">
        <v>18.239999999999998</v>
      </c>
      <c r="BD20" s="4" t="s">
        <v>152</v>
      </c>
      <c r="BE20">
        <v>19.399999999999999</v>
      </c>
      <c r="BF20">
        <v>15.9</v>
      </c>
      <c r="BG20" t="s">
        <v>162</v>
      </c>
      <c r="BH20" t="s">
        <v>162</v>
      </c>
      <c r="BI20">
        <v>18.7</v>
      </c>
      <c r="BJ20" t="s">
        <v>162</v>
      </c>
      <c r="BK20" t="s">
        <v>162</v>
      </c>
      <c r="BL20" t="s">
        <v>162</v>
      </c>
      <c r="BM20">
        <v>18.3</v>
      </c>
      <c r="BN20" s="58">
        <v>14.4</v>
      </c>
      <c r="BO20">
        <v>24.5</v>
      </c>
      <c r="BP20">
        <v>14.6</v>
      </c>
      <c r="BQ20">
        <v>21.2</v>
      </c>
      <c r="BR20">
        <v>17.7</v>
      </c>
      <c r="BS20">
        <v>15.3</v>
      </c>
      <c r="BT20" t="s">
        <v>162</v>
      </c>
      <c r="BU20">
        <v>18.5</v>
      </c>
      <c r="BV20" t="s">
        <v>162</v>
      </c>
      <c r="BW20">
        <v>22.7</v>
      </c>
    </row>
    <row r="21" spans="2:79" ht="15" customHeight="1" x14ac:dyDescent="0.3">
      <c r="B21" s="48" t="s">
        <v>295</v>
      </c>
      <c r="C21" s="10" t="s">
        <v>294</v>
      </c>
      <c r="D21" s="10" t="str">
        <f>R26</f>
        <v>111  (103 , 117)</v>
      </c>
      <c r="E21" s="10" t="str">
        <f>V26</f>
        <v>91  (65 , 118)</v>
      </c>
      <c r="F21" s="107">
        <f>K23</f>
        <v>0.29020000000000001</v>
      </c>
      <c r="J21" s="4" t="s">
        <v>153</v>
      </c>
      <c r="L21" s="87"/>
      <c r="M21" s="7"/>
      <c r="Q21" s="4" t="s">
        <v>150</v>
      </c>
      <c r="R21" s="1" t="str">
        <f>CONCATENATE(TEXT(S21,"0"), "  (", TEXT(T21,"0"), " , ", TEXT(U21,"0"), ")")</f>
        <v>144  (142 , 155)</v>
      </c>
      <c r="S21">
        <f t="shared" ref="S21:S24" si="6">MEDIAN(AA18:AZ18)</f>
        <v>144.25</v>
      </c>
      <c r="T21">
        <f t="shared" ref="T21:T24" si="7">_xlfn.PERCENTILE.INC(AA18:AZ18, 0.25)</f>
        <v>142.125</v>
      </c>
      <c r="U21">
        <f t="shared" ref="U21:U24" si="8">_xlfn.PERCENTILE.INC(AA18:AZ18, 0.75)</f>
        <v>154.75</v>
      </c>
      <c r="V21" s="1" t="str">
        <f>CONCATENATE(TEXT(W21,"0"), "  (", TEXT(X21,"0"), " , ", TEXT(Y21,"0"), ")")</f>
        <v>153  (141 , 160)</v>
      </c>
      <c r="W21">
        <f t="shared" ref="W21:W24" si="9">MEDIAN(BE18:CC18)</f>
        <v>152.80000000000001</v>
      </c>
      <c r="X21">
        <f t="shared" ref="X21:X24" si="10">_xlfn.PERCENTILE.INC(BE18:CC18, 0.25)</f>
        <v>140.77499999999998</v>
      </c>
      <c r="Y21">
        <f t="shared" ref="Y21:Y24" si="11">_xlfn.PERCENTILE.INC(BE18:CC18, 0.75)</f>
        <v>159.77500000000001</v>
      </c>
      <c r="Z21" s="4" t="s">
        <v>153</v>
      </c>
      <c r="AA21" t="s">
        <v>162</v>
      </c>
      <c r="AB21" t="s">
        <v>162</v>
      </c>
      <c r="AC21">
        <f>AVERAGE(10.79, 9.7)</f>
        <v>10.244999999999999</v>
      </c>
      <c r="AD21">
        <v>96.24</v>
      </c>
      <c r="AE21">
        <v>92.45</v>
      </c>
      <c r="AF21">
        <v>37.630000000000003</v>
      </c>
      <c r="AG21" t="s">
        <v>162</v>
      </c>
      <c r="AH21">
        <v>89.26</v>
      </c>
      <c r="AI21" t="s">
        <v>162</v>
      </c>
      <c r="AJ21" t="s">
        <v>162</v>
      </c>
      <c r="AK21">
        <v>24.57</v>
      </c>
      <c r="AL21" s="27" t="s">
        <v>162</v>
      </c>
      <c r="AM21">
        <v>20.100000000000001</v>
      </c>
      <c r="AN21" s="27" t="s">
        <v>162</v>
      </c>
      <c r="AO21" s="27" t="s">
        <v>162</v>
      </c>
      <c r="AP21" s="27" t="s">
        <v>162</v>
      </c>
      <c r="AQ21">
        <v>22.23</v>
      </c>
      <c r="AR21" s="27" t="s">
        <v>162</v>
      </c>
      <c r="AS21" s="27" t="s">
        <v>162</v>
      </c>
      <c r="AT21">
        <v>31</v>
      </c>
      <c r="AU21">
        <v>82.72</v>
      </c>
      <c r="AV21">
        <v>52.12</v>
      </c>
      <c r="AW21">
        <v>47</v>
      </c>
      <c r="BD21" s="4" t="s">
        <v>153</v>
      </c>
      <c r="BE21">
        <v>77</v>
      </c>
      <c r="BF21">
        <v>60</v>
      </c>
      <c r="BG21" t="s">
        <v>162</v>
      </c>
      <c r="BH21" t="s">
        <v>162</v>
      </c>
      <c r="BI21">
        <v>66</v>
      </c>
      <c r="BJ21" t="s">
        <v>162</v>
      </c>
      <c r="BK21" t="s">
        <v>162</v>
      </c>
      <c r="BL21" t="s">
        <v>162</v>
      </c>
      <c r="BM21">
        <v>43</v>
      </c>
      <c r="BN21" s="58">
        <v>12</v>
      </c>
      <c r="BO21">
        <v>96</v>
      </c>
      <c r="BP21">
        <v>27</v>
      </c>
      <c r="BQ21">
        <v>66</v>
      </c>
      <c r="BR21">
        <v>50</v>
      </c>
      <c r="BS21">
        <v>9</v>
      </c>
      <c r="BT21" t="s">
        <v>162</v>
      </c>
      <c r="BU21">
        <v>53</v>
      </c>
      <c r="BV21" t="s">
        <v>162</v>
      </c>
      <c r="BW21">
        <v>60</v>
      </c>
    </row>
    <row r="22" spans="2:79" ht="15" customHeight="1" x14ac:dyDescent="0.3">
      <c r="B22" s="48" t="s">
        <v>296</v>
      </c>
      <c r="C22" s="10" t="s">
        <v>294</v>
      </c>
      <c r="D22" s="10" t="str">
        <f>R27</f>
        <v>64  (60 , 68)</v>
      </c>
      <c r="E22" s="10" t="str">
        <f>V27</f>
        <v>58  (65 , 66)</v>
      </c>
      <c r="F22" s="107">
        <f t="shared" ref="F22:F24" si="12">K24</f>
        <v>0.21809999999999999</v>
      </c>
      <c r="Q22" s="4" t="s">
        <v>151</v>
      </c>
      <c r="R22" s="1" t="str">
        <f t="shared" si="4"/>
        <v>31.13  (17.54 , 45.42)</v>
      </c>
      <c r="S22">
        <f t="shared" si="6"/>
        <v>31.125</v>
      </c>
      <c r="T22">
        <f t="shared" si="7"/>
        <v>17.534999999999997</v>
      </c>
      <c r="U22">
        <f t="shared" si="8"/>
        <v>45.42</v>
      </c>
      <c r="V22" s="1" t="str">
        <f t="shared" si="5"/>
        <v>81.50  (60.50 , 93.00)</v>
      </c>
      <c r="W22">
        <f t="shared" si="9"/>
        <v>81.5</v>
      </c>
      <c r="X22">
        <f t="shared" si="10"/>
        <v>60.5</v>
      </c>
      <c r="Y22">
        <f t="shared" si="11"/>
        <v>93</v>
      </c>
      <c r="AI22" t="s">
        <v>162</v>
      </c>
      <c r="AJ22" t="s">
        <v>162</v>
      </c>
      <c r="BK22" s="27" t="s">
        <v>168</v>
      </c>
      <c r="BL22" s="27" t="s">
        <v>168</v>
      </c>
      <c r="CA22" t="s">
        <v>270</v>
      </c>
    </row>
    <row r="23" spans="2:79" ht="15" customHeight="1" x14ac:dyDescent="0.3">
      <c r="B23" s="48" t="s">
        <v>541</v>
      </c>
      <c r="C23" s="10" t="s">
        <v>294</v>
      </c>
      <c r="D23" s="10" t="str">
        <f>R28</f>
        <v>80  (78 , 83)</v>
      </c>
      <c r="E23" s="10" t="str">
        <f>V28</f>
        <v>74  (73 , 81)</v>
      </c>
      <c r="F23" s="107">
        <f>K25</f>
        <v>0.2172</v>
      </c>
      <c r="J23" s="4" t="s">
        <v>11</v>
      </c>
      <c r="K23" s="87">
        <f>L23</f>
        <v>0.29020000000000001</v>
      </c>
      <c r="L23" s="87">
        <v>0.29020000000000001</v>
      </c>
      <c r="M23" s="7">
        <v>45056</v>
      </c>
      <c r="Q23" s="4" t="s">
        <v>152</v>
      </c>
      <c r="R23" s="1" t="str">
        <f>CONCATENATE(TRUNC(S23,1), "  (", TRUNC(T23,1), " , ", TRUNC(U23,1), ");     ", TRUNC(S24,1), "%  (", TRUNC(T24,1), " , ", TRUNC(U24,1), ")")</f>
        <v>17.7  (16.2 , 22.3);     42.3%  (23.9 , 84.3)</v>
      </c>
      <c r="S23">
        <f t="shared" si="6"/>
        <v>17.7</v>
      </c>
      <c r="T23">
        <f t="shared" si="7"/>
        <v>16.22</v>
      </c>
      <c r="U23">
        <f t="shared" si="8"/>
        <v>22.33</v>
      </c>
      <c r="V23" s="1" t="str">
        <f>CONCATENATE(TRUNC(W23,1), "  (", TRUNC(X23,1), " , ", TRUNC(Y23,1), ");     ", TRUNC(W24,1), "%  (", TRUNC(X24,1), " , ", TRUNC(Y24,1), ")")</f>
        <v>18.4  (15.7 , 19.8);     56.5%  (39 , 66)</v>
      </c>
      <c r="W23">
        <f t="shared" si="9"/>
        <v>18.399999999999999</v>
      </c>
      <c r="X23">
        <f t="shared" si="10"/>
        <v>15.75</v>
      </c>
      <c r="Y23">
        <f t="shared" si="11"/>
        <v>19.849999999999998</v>
      </c>
      <c r="AC23" t="s">
        <v>155</v>
      </c>
      <c r="AI23" t="s">
        <v>162</v>
      </c>
      <c r="AJ23" t="s">
        <v>162</v>
      </c>
      <c r="BN23" s="60" t="s">
        <v>376</v>
      </c>
      <c r="BP23" s="60" t="s">
        <v>376</v>
      </c>
      <c r="BQ23" s="60" t="s">
        <v>376</v>
      </c>
      <c r="BR23" s="60" t="s">
        <v>376</v>
      </c>
      <c r="BT23" s="60" t="s">
        <v>376</v>
      </c>
      <c r="BU23" s="60" t="s">
        <v>376</v>
      </c>
      <c r="BW23" t="s">
        <v>399</v>
      </c>
      <c r="CA23" t="s">
        <v>271</v>
      </c>
    </row>
    <row r="24" spans="2:79" ht="15" customHeight="1" x14ac:dyDescent="0.3">
      <c r="B24" s="48" t="s">
        <v>303</v>
      </c>
      <c r="C24" s="10" t="s">
        <v>297</v>
      </c>
      <c r="D24" s="10" t="str">
        <f>R34</f>
        <v>99  (97 , 100)</v>
      </c>
      <c r="E24" s="10" t="str">
        <f>V34</f>
        <v>97  (96 , 98)</v>
      </c>
      <c r="F24" s="107">
        <f t="shared" si="12"/>
        <v>0.2198</v>
      </c>
      <c r="J24" s="4" t="s">
        <v>12</v>
      </c>
      <c r="K24" s="87">
        <f t="shared" ref="K24:K26" si="13">L24</f>
        <v>0.21809999999999999</v>
      </c>
      <c r="L24" s="87">
        <v>0.21809999999999999</v>
      </c>
      <c r="M24" s="7">
        <v>45056</v>
      </c>
      <c r="Q24" s="4" t="s">
        <v>153</v>
      </c>
      <c r="S24">
        <f t="shared" si="6"/>
        <v>42.314999999999998</v>
      </c>
      <c r="T24">
        <f t="shared" si="7"/>
        <v>23.984999999999999</v>
      </c>
      <c r="U24">
        <f t="shared" si="8"/>
        <v>84.355000000000004</v>
      </c>
      <c r="V24" s="1"/>
      <c r="W24">
        <f t="shared" si="9"/>
        <v>56.5</v>
      </c>
      <c r="X24">
        <f t="shared" si="10"/>
        <v>39</v>
      </c>
      <c r="Y24">
        <f t="shared" si="11"/>
        <v>66</v>
      </c>
      <c r="Z24" s="4" t="s">
        <v>11</v>
      </c>
      <c r="AA24" t="s">
        <v>162</v>
      </c>
      <c r="AB24" t="s">
        <v>162</v>
      </c>
      <c r="AC24">
        <f>AVERAGE(94, 106)</f>
        <v>100</v>
      </c>
      <c r="AD24">
        <v>130</v>
      </c>
      <c r="AE24">
        <v>127</v>
      </c>
      <c r="AF24">
        <v>116</v>
      </c>
      <c r="AG24" t="s">
        <v>162</v>
      </c>
      <c r="AH24">
        <v>118</v>
      </c>
      <c r="AI24" t="s">
        <v>162</v>
      </c>
      <c r="AJ24" t="s">
        <v>162</v>
      </c>
      <c r="AK24">
        <v>97</v>
      </c>
      <c r="AL24" s="27" t="s">
        <v>162</v>
      </c>
      <c r="AM24">
        <v>116</v>
      </c>
      <c r="AN24" s="27" t="s">
        <v>162</v>
      </c>
      <c r="AO24" s="27" t="s">
        <v>162</v>
      </c>
      <c r="AP24" s="27" t="s">
        <v>162</v>
      </c>
      <c r="AQ24">
        <v>107</v>
      </c>
      <c r="AR24" s="27" t="s">
        <v>162</v>
      </c>
      <c r="AS24" s="27" t="s">
        <v>162</v>
      </c>
      <c r="AT24">
        <v>103</v>
      </c>
      <c r="AU24">
        <v>105</v>
      </c>
      <c r="AV24">
        <v>114</v>
      </c>
      <c r="AW24">
        <v>101</v>
      </c>
      <c r="BD24" s="4" t="s">
        <v>11</v>
      </c>
      <c r="BE24">
        <v>90.548190277777906</v>
      </c>
      <c r="BF24">
        <v>121.8117</v>
      </c>
      <c r="BG24" t="s">
        <v>162</v>
      </c>
      <c r="BH24" t="s">
        <v>162</v>
      </c>
      <c r="BI24" s="60" t="s">
        <v>162</v>
      </c>
      <c r="BJ24" t="s">
        <v>162</v>
      </c>
      <c r="BK24">
        <v>89.397677777777801</v>
      </c>
      <c r="BL24">
        <v>75.078047222222295</v>
      </c>
      <c r="BM24">
        <v>91.221442797222295</v>
      </c>
      <c r="BN24" s="60" t="s">
        <v>162</v>
      </c>
      <c r="BO24">
        <v>114.5951216025</v>
      </c>
      <c r="BP24" s="60" t="s">
        <v>162</v>
      </c>
      <c r="BQ24" s="60" t="s">
        <v>162</v>
      </c>
      <c r="BR24" s="60" t="s">
        <v>162</v>
      </c>
      <c r="BS24">
        <v>133.01865708083301</v>
      </c>
      <c r="BT24" s="60" t="s">
        <v>162</v>
      </c>
      <c r="BU24" s="60" t="s">
        <v>162</v>
      </c>
      <c r="BV24" t="s">
        <v>162</v>
      </c>
      <c r="BW24" t="s">
        <v>162</v>
      </c>
    </row>
    <row r="25" spans="2:79" ht="15" customHeight="1" x14ac:dyDescent="0.3">
      <c r="B25" s="48"/>
      <c r="C25" s="4"/>
      <c r="D25" s="10"/>
      <c r="E25" s="10"/>
      <c r="F25" s="53"/>
      <c r="J25" s="4" t="s">
        <v>13</v>
      </c>
      <c r="K25" s="87">
        <f t="shared" si="13"/>
        <v>0.2172</v>
      </c>
      <c r="L25" s="87">
        <v>0.2172</v>
      </c>
      <c r="M25" s="7">
        <v>45056</v>
      </c>
      <c r="V25" s="1"/>
      <c r="Z25" s="4" t="s">
        <v>12</v>
      </c>
      <c r="AA25" t="s">
        <v>162</v>
      </c>
      <c r="AB25" t="s">
        <v>162</v>
      </c>
      <c r="AC25">
        <f>AVERAGE(55, 67)</f>
        <v>61</v>
      </c>
      <c r="AD25">
        <v>73</v>
      </c>
      <c r="AE25">
        <v>65</v>
      </c>
      <c r="AF25">
        <v>62</v>
      </c>
      <c r="AG25" t="s">
        <v>162</v>
      </c>
      <c r="AH25">
        <v>59</v>
      </c>
      <c r="AI25" t="s">
        <v>162</v>
      </c>
      <c r="AJ25" t="s">
        <v>162</v>
      </c>
      <c r="AK25">
        <v>83</v>
      </c>
      <c r="AL25" s="27" t="s">
        <v>162</v>
      </c>
      <c r="AM25">
        <v>60</v>
      </c>
      <c r="AN25" s="27" t="s">
        <v>162</v>
      </c>
      <c r="AO25" s="27" t="s">
        <v>162</v>
      </c>
      <c r="AP25" s="27" t="s">
        <v>162</v>
      </c>
      <c r="AQ25">
        <v>70</v>
      </c>
      <c r="AR25" s="27" t="s">
        <v>162</v>
      </c>
      <c r="AS25" s="27" t="s">
        <v>162</v>
      </c>
      <c r="AT25">
        <v>59</v>
      </c>
      <c r="AU25">
        <v>66</v>
      </c>
      <c r="AV25">
        <v>67</v>
      </c>
      <c r="AW25">
        <v>58</v>
      </c>
      <c r="BD25" s="4" t="s">
        <v>12</v>
      </c>
      <c r="BE25">
        <v>57.840933333333403</v>
      </c>
      <c r="BF25">
        <v>57.112648611111197</v>
      </c>
      <c r="BG25" t="s">
        <v>162</v>
      </c>
      <c r="BH25" t="s">
        <v>162</v>
      </c>
      <c r="BI25" s="60" t="s">
        <v>162</v>
      </c>
      <c r="BJ25" t="s">
        <v>162</v>
      </c>
      <c r="BK25">
        <v>67.526772222222306</v>
      </c>
      <c r="BL25">
        <v>40.538338888888902</v>
      </c>
      <c r="BM25">
        <v>43.722965791388901</v>
      </c>
      <c r="BN25" s="60" t="s">
        <v>162</v>
      </c>
      <c r="BO25">
        <v>64.503411240277799</v>
      </c>
      <c r="BP25" s="60" t="s">
        <v>162</v>
      </c>
      <c r="BQ25" s="60" t="s">
        <v>162</v>
      </c>
      <c r="BR25" s="60" t="s">
        <v>162</v>
      </c>
      <c r="BS25">
        <v>94.955334268055594</v>
      </c>
      <c r="BT25" s="60" t="s">
        <v>162</v>
      </c>
      <c r="BU25" s="60" t="s">
        <v>162</v>
      </c>
      <c r="BV25" t="s">
        <v>162</v>
      </c>
      <c r="BW25" t="s">
        <v>162</v>
      </c>
    </row>
    <row r="26" spans="2:79" ht="15" customHeight="1" x14ac:dyDescent="0.3">
      <c r="B26" s="163" t="s">
        <v>306</v>
      </c>
      <c r="C26" s="164"/>
      <c r="D26" s="164"/>
      <c r="E26" s="164"/>
      <c r="F26" s="165"/>
      <c r="J26" s="4" t="s">
        <v>14</v>
      </c>
      <c r="K26" s="87">
        <f t="shared" si="13"/>
        <v>0.2198</v>
      </c>
      <c r="L26" s="87">
        <v>0.2198</v>
      </c>
      <c r="M26" s="7">
        <v>45056</v>
      </c>
      <c r="Q26" s="4" t="s">
        <v>11</v>
      </c>
      <c r="R26" s="1" t="str">
        <f>CONCATENATE(TEXT(S26,"0"), "  (", TEXT(T26,"0"), " , ", TEXT(U26,"0"), ")")</f>
        <v>111  (103 , 117)</v>
      </c>
      <c r="S26" s="37">
        <f>MEDIAN(AA24:AZ24)</f>
        <v>110.5</v>
      </c>
      <c r="T26">
        <f>_xlfn.PERCENTILE.INC(AA24:AZ24, 0.25)</f>
        <v>102.5</v>
      </c>
      <c r="U26">
        <f>_xlfn.PERCENTILE.INC(AA24:AZ24, 0.75)</f>
        <v>116.5</v>
      </c>
      <c r="V26" s="1" t="str">
        <f>CONCATENATE(TEXT(W26,"0"), "  (", TEXT(X26,"0"), " , ", TEXT(Y26,"0"), ")")</f>
        <v>91  (65 , 118)</v>
      </c>
      <c r="W26">
        <f>MEDIAN(BE24:CC24)</f>
        <v>91.221442797222295</v>
      </c>
      <c r="X26">
        <f>_xlfn.PERCENTILE.INC(BE24:CC26, 0.25)</f>
        <v>64.503411240277799</v>
      </c>
      <c r="Y26">
        <f>_xlfn.PERCENTILE.INC(BE24:CC24, 0.75)</f>
        <v>118.20341080125</v>
      </c>
      <c r="Z26" s="4" t="s">
        <v>13</v>
      </c>
      <c r="AA26" t="s">
        <v>162</v>
      </c>
      <c r="AB26" t="s">
        <v>162</v>
      </c>
      <c r="AC26" s="37">
        <f>(1/3)*AC24+(2/3)*AC25</f>
        <v>74</v>
      </c>
      <c r="AD26" s="37">
        <f>(1/3)*AD24+(2/3)*AD25</f>
        <v>92</v>
      </c>
      <c r="AE26" s="37">
        <f>(1/3)*AE24+(2/3)*AE25</f>
        <v>85.666666666666657</v>
      </c>
      <c r="AF26" s="37">
        <f>(1/3)*AF24+(2/3)*AF25</f>
        <v>80</v>
      </c>
      <c r="AG26" t="s">
        <v>162</v>
      </c>
      <c r="AH26" s="37">
        <f>(1/3)*AH24+(2/3)*AH25</f>
        <v>78.666666666666657</v>
      </c>
      <c r="AI26" t="s">
        <v>162</v>
      </c>
      <c r="AJ26" t="s">
        <v>162</v>
      </c>
      <c r="AK26" s="37">
        <f>(1/3)*AK24+(2/3)*AK25</f>
        <v>87.666666666666657</v>
      </c>
      <c r="AL26" s="27" t="s">
        <v>162</v>
      </c>
      <c r="AM26" s="37">
        <f>(1/3)*AM24+(2/3)*AM25</f>
        <v>78.666666666666657</v>
      </c>
      <c r="AN26" s="27" t="s">
        <v>162</v>
      </c>
      <c r="AO26" s="27" t="s">
        <v>162</v>
      </c>
      <c r="AP26" s="27" t="s">
        <v>162</v>
      </c>
      <c r="AQ26" s="37">
        <f t="shared" ref="AQ26" si="14">(1/3)*AQ24+(2/3)*AQ25</f>
        <v>82.333333333333329</v>
      </c>
      <c r="AR26" s="27" t="s">
        <v>162</v>
      </c>
      <c r="AS26" s="27" t="s">
        <v>162</v>
      </c>
      <c r="AT26" s="37">
        <f>(1/3)*AT24+(2/3)*AT25</f>
        <v>73.666666666666657</v>
      </c>
      <c r="AU26" s="37">
        <f>(1/3)*AU24+(2/3)*AU25</f>
        <v>79</v>
      </c>
      <c r="AV26" s="37">
        <f>(1/3)*AV24+(2/3)*AV25</f>
        <v>82.666666666666657</v>
      </c>
      <c r="AW26">
        <v>72.3</v>
      </c>
      <c r="BD26" s="4" t="s">
        <v>13</v>
      </c>
      <c r="BE26">
        <v>68.671001851851898</v>
      </c>
      <c r="BF26">
        <v>78.252310185185195</v>
      </c>
      <c r="BG26" t="s">
        <v>162</v>
      </c>
      <c r="BH26" t="s">
        <v>162</v>
      </c>
      <c r="BI26" s="60" t="s">
        <v>162</v>
      </c>
      <c r="BJ26" t="s">
        <v>162</v>
      </c>
      <c r="BK26">
        <v>74.231017129629706</v>
      </c>
      <c r="BL26">
        <v>53.2590495370371</v>
      </c>
      <c r="BM26">
        <v>66.790324084814898</v>
      </c>
      <c r="BN26" s="60" t="s">
        <v>162</v>
      </c>
      <c r="BO26">
        <v>83.142722476203801</v>
      </c>
      <c r="BP26" s="60" t="s">
        <v>162</v>
      </c>
      <c r="BQ26" s="60" t="s">
        <v>162</v>
      </c>
      <c r="BR26" s="60" t="s">
        <v>162</v>
      </c>
      <c r="BS26">
        <v>109.048183272315</v>
      </c>
      <c r="BT26" s="60" t="s">
        <v>162</v>
      </c>
      <c r="BU26" s="60" t="s">
        <v>162</v>
      </c>
      <c r="BV26" t="s">
        <v>162</v>
      </c>
      <c r="BW26" t="s">
        <v>162</v>
      </c>
    </row>
    <row r="27" spans="2:79" ht="15" customHeight="1" x14ac:dyDescent="0.3">
      <c r="B27" s="48" t="s">
        <v>298</v>
      </c>
      <c r="C27" s="10" t="s">
        <v>307</v>
      </c>
      <c r="D27" s="10" t="s">
        <v>257</v>
      </c>
      <c r="E27" s="10" t="s">
        <v>299</v>
      </c>
      <c r="F27" s="53" t="s">
        <v>167</v>
      </c>
      <c r="Q27" s="4" t="s">
        <v>12</v>
      </c>
      <c r="R27" s="1" t="str">
        <f t="shared" ref="R27:R28" si="15">CONCATENATE(TEXT(S27,"0"), "  (", TEXT(T27,"0"), " , ", TEXT(U27,"0"), ")")</f>
        <v>64  (60 , 68)</v>
      </c>
      <c r="S27" s="37">
        <f t="shared" ref="S27" si="16">MEDIAN(AA25:AZ25)</f>
        <v>63.5</v>
      </c>
      <c r="T27">
        <f t="shared" ref="T27" si="17">_xlfn.PERCENTILE.INC(AA25:AZ25, 0.25)</f>
        <v>59.75</v>
      </c>
      <c r="U27">
        <f t="shared" ref="U27" si="18">_xlfn.PERCENTILE.INC(AA25:AZ25, 0.75)</f>
        <v>67.75</v>
      </c>
      <c r="V27" s="1" t="str">
        <f t="shared" ref="V27:V28" si="19">CONCATENATE(TEXT(W27,"0"), "  (", TEXT(X27,"0"), " , ", TEXT(Y27,"0"), ")")</f>
        <v>58  (65 , 66)</v>
      </c>
      <c r="W27">
        <f t="shared" ref="W27" si="20">MEDIAN(BE25:CC25)</f>
        <v>57.840933333333403</v>
      </c>
      <c r="X27">
        <f t="shared" ref="X27" si="21">_xlfn.PERCENTILE.INC(BE25:CC27, 0.25)</f>
        <v>64.503411240277799</v>
      </c>
      <c r="Y27">
        <f t="shared" ref="Y27" si="22">_xlfn.PERCENTILE.INC(BE25:CC25, 0.75)</f>
        <v>66.015091731250052</v>
      </c>
      <c r="Z27" s="4" t="s">
        <v>14</v>
      </c>
      <c r="AA27" t="s">
        <v>162</v>
      </c>
      <c r="AB27" t="s">
        <v>162</v>
      </c>
      <c r="AC27">
        <f>AVERAGE(100, 96)</f>
        <v>98</v>
      </c>
      <c r="AD27">
        <v>97</v>
      </c>
      <c r="AE27">
        <v>99</v>
      </c>
      <c r="AF27">
        <v>94</v>
      </c>
      <c r="AG27" t="s">
        <v>162</v>
      </c>
      <c r="AH27">
        <v>100</v>
      </c>
      <c r="AI27" t="s">
        <v>162</v>
      </c>
      <c r="AJ27" t="s">
        <v>162</v>
      </c>
      <c r="AK27">
        <v>98.2</v>
      </c>
      <c r="AL27" s="27" t="s">
        <v>162</v>
      </c>
      <c r="AM27">
        <v>100</v>
      </c>
      <c r="AN27" s="27" t="s">
        <v>162</v>
      </c>
      <c r="AO27" s="27" t="s">
        <v>162</v>
      </c>
      <c r="AP27" s="27" t="s">
        <v>162</v>
      </c>
      <c r="AQ27">
        <v>100</v>
      </c>
      <c r="AR27" s="27" t="s">
        <v>162</v>
      </c>
      <c r="AS27" s="27" t="s">
        <v>162</v>
      </c>
      <c r="AT27">
        <v>84</v>
      </c>
      <c r="AU27">
        <v>100</v>
      </c>
      <c r="AV27">
        <v>96</v>
      </c>
      <c r="AW27">
        <v>100</v>
      </c>
      <c r="BD27" s="4" t="s">
        <v>14</v>
      </c>
      <c r="BE27" s="58">
        <v>96</v>
      </c>
      <c r="BF27" s="58">
        <v>96</v>
      </c>
      <c r="BG27" t="s">
        <v>162</v>
      </c>
      <c r="BH27" t="s">
        <v>162</v>
      </c>
      <c r="BI27" s="60" t="s">
        <v>162</v>
      </c>
      <c r="BJ27" t="s">
        <v>162</v>
      </c>
      <c r="BK27" s="58">
        <v>99</v>
      </c>
      <c r="BL27" s="58">
        <v>99</v>
      </c>
      <c r="BM27" s="58">
        <v>96.412538699690401</v>
      </c>
      <c r="BN27" s="60" t="s">
        <v>162</v>
      </c>
      <c r="BO27" s="58">
        <v>96.839889579019996</v>
      </c>
      <c r="BP27" s="60" t="s">
        <v>162</v>
      </c>
      <c r="BQ27" s="60" t="s">
        <v>162</v>
      </c>
      <c r="BR27" s="60" t="s">
        <v>162</v>
      </c>
      <c r="BS27" s="58">
        <v>96.984261501210696</v>
      </c>
      <c r="BT27" s="60" t="s">
        <v>162</v>
      </c>
      <c r="BU27" s="60" t="s">
        <v>162</v>
      </c>
      <c r="BV27" t="s">
        <v>162</v>
      </c>
      <c r="BW27" t="s">
        <v>162</v>
      </c>
    </row>
    <row r="28" spans="2:79" ht="15" customHeight="1" x14ac:dyDescent="0.3">
      <c r="B28" s="48" t="s">
        <v>256</v>
      </c>
      <c r="C28" s="10" t="s">
        <v>307</v>
      </c>
      <c r="D28" s="10" t="s">
        <v>450</v>
      </c>
      <c r="E28" s="10" t="s">
        <v>257</v>
      </c>
      <c r="F28" s="53" t="s">
        <v>167</v>
      </c>
      <c r="Q28" s="4" t="s">
        <v>13</v>
      </c>
      <c r="R28" s="1" t="str">
        <f t="shared" si="15"/>
        <v>80  (78 , 83)</v>
      </c>
      <c r="S28" s="37">
        <f>MEDIAN(AA26:AZ26)</f>
        <v>79.5</v>
      </c>
      <c r="T28">
        <f>_xlfn.PERCENTILE.INC(AA26:AZ26, 0.25)</f>
        <v>77.5</v>
      </c>
      <c r="U28">
        <f>_xlfn.PERCENTILE.INC(AA26:AZ26, 0.75)</f>
        <v>83.416666666666657</v>
      </c>
      <c r="V28" s="1" t="str">
        <f t="shared" si="19"/>
        <v>74  (73 , 81)</v>
      </c>
      <c r="W28">
        <f>MEDIAN(BE26:CC26)</f>
        <v>74.231017129629706</v>
      </c>
      <c r="X28">
        <f>_xlfn.PERCENTILE.INC(BE26:CC28, 0.25)</f>
        <v>73.439118986370204</v>
      </c>
      <c r="Y28">
        <f>_xlfn.PERCENTILE.INC(BE26:CC26, 0.75)</f>
        <v>80.697516330694498</v>
      </c>
      <c r="Z28" s="4" t="s">
        <v>353</v>
      </c>
      <c r="AA28" t="s">
        <v>162</v>
      </c>
      <c r="AB28" t="s">
        <v>162</v>
      </c>
      <c r="AC28" t="s">
        <v>162</v>
      </c>
      <c r="AD28" t="s">
        <v>162</v>
      </c>
      <c r="AE28" t="s">
        <v>162</v>
      </c>
      <c r="AF28" t="s">
        <v>162</v>
      </c>
      <c r="AG28" t="s">
        <v>162</v>
      </c>
      <c r="AH28" t="s">
        <v>162</v>
      </c>
      <c r="AI28" t="s">
        <v>162</v>
      </c>
      <c r="AJ28" t="s">
        <v>162</v>
      </c>
      <c r="AK28" t="s">
        <v>162</v>
      </c>
      <c r="AL28" t="s">
        <v>162</v>
      </c>
      <c r="AM28" t="s">
        <v>162</v>
      </c>
      <c r="AN28" t="s">
        <v>162</v>
      </c>
      <c r="AO28" t="s">
        <v>162</v>
      </c>
      <c r="AP28" t="s">
        <v>162</v>
      </c>
      <c r="AQ28" t="s">
        <v>162</v>
      </c>
      <c r="AW28">
        <v>80</v>
      </c>
      <c r="BD28" s="4" t="s">
        <v>353</v>
      </c>
      <c r="BE28">
        <v>94.935126265760005</v>
      </c>
      <c r="BF28">
        <v>105.631635436157</v>
      </c>
      <c r="BG28" t="s">
        <v>162</v>
      </c>
      <c r="BH28" t="s">
        <v>162</v>
      </c>
      <c r="BI28" s="60" t="s">
        <v>162</v>
      </c>
      <c r="BJ28" t="s">
        <v>162</v>
      </c>
      <c r="BK28">
        <v>95.679747142663601</v>
      </c>
      <c r="BL28">
        <v>73.439118986370204</v>
      </c>
      <c r="BM28">
        <v>60.975234179516598</v>
      </c>
      <c r="BN28" s="60" t="s">
        <v>162</v>
      </c>
      <c r="BO28">
        <v>102.41833677805499</v>
      </c>
      <c r="BP28" s="60" t="s">
        <v>162</v>
      </c>
      <c r="BQ28" s="60" t="s">
        <v>162</v>
      </c>
      <c r="BR28" s="60" t="s">
        <v>162</v>
      </c>
      <c r="BS28">
        <v>71.374942418323997</v>
      </c>
      <c r="BT28" s="60" t="s">
        <v>162</v>
      </c>
      <c r="BU28" s="60" t="s">
        <v>162</v>
      </c>
      <c r="BV28" t="s">
        <v>162</v>
      </c>
      <c r="BW28" t="s">
        <v>162</v>
      </c>
    </row>
    <row r="29" spans="2:79" ht="15" customHeight="1" x14ac:dyDescent="0.3">
      <c r="B29" s="48"/>
      <c r="C29" s="4"/>
      <c r="D29" s="10"/>
      <c r="E29" s="10"/>
      <c r="F29" s="53"/>
      <c r="I29" s="1"/>
      <c r="Q29" s="4"/>
      <c r="S29" s="37"/>
      <c r="V29" s="1"/>
      <c r="AL29" s="27"/>
      <c r="AN29" s="27"/>
      <c r="AO29" s="27"/>
      <c r="AP29" s="27"/>
    </row>
    <row r="30" spans="2:79" ht="15" customHeight="1" x14ac:dyDescent="0.3">
      <c r="B30" s="163" t="s">
        <v>15</v>
      </c>
      <c r="C30" s="164"/>
      <c r="D30" s="164"/>
      <c r="E30" s="164"/>
      <c r="F30" s="165"/>
      <c r="I30" s="1"/>
      <c r="Q30" s="4"/>
      <c r="S30" s="37"/>
      <c r="V30" s="1"/>
      <c r="AL30" s="27"/>
      <c r="AN30" s="27"/>
      <c r="AO30" s="27"/>
      <c r="AP30" s="27"/>
      <c r="BN30">
        <v>150.12026906402801</v>
      </c>
    </row>
    <row r="31" spans="2:79" ht="15" customHeight="1" x14ac:dyDescent="0.3">
      <c r="B31" s="48" t="s">
        <v>301</v>
      </c>
      <c r="C31" s="10" t="s">
        <v>300</v>
      </c>
      <c r="D31" s="10" t="str">
        <f>R36</f>
        <v>8.9  (7.9 , 9.8)</v>
      </c>
      <c r="E31" s="10" t="s">
        <v>167</v>
      </c>
      <c r="F31" s="53" t="s">
        <v>167</v>
      </c>
      <c r="Q31" s="4"/>
      <c r="S31" s="37"/>
      <c r="V31" s="1"/>
      <c r="AL31" s="27"/>
      <c r="AN31" s="27"/>
      <c r="AO31" s="27"/>
      <c r="AP31" s="27"/>
      <c r="BN31">
        <v>150.12026906402801</v>
      </c>
      <c r="BO31">
        <v>114.5951216025</v>
      </c>
      <c r="BP31">
        <v>217.97863983805601</v>
      </c>
      <c r="BQ31">
        <v>176.744548233611</v>
      </c>
      <c r="BR31">
        <v>219.82003278583301</v>
      </c>
      <c r="BS31">
        <v>133.01865708083301</v>
      </c>
      <c r="BT31">
        <v>201.838138628195</v>
      </c>
      <c r="BU31">
        <v>171.8782339725</v>
      </c>
      <c r="BV31" t="s">
        <v>162</v>
      </c>
    </row>
    <row r="32" spans="2:79" ht="15" customHeight="1" x14ac:dyDescent="0.3">
      <c r="B32" s="48" t="s">
        <v>302</v>
      </c>
      <c r="C32" s="10" t="s">
        <v>297</v>
      </c>
      <c r="D32" s="10" t="str">
        <f>R37</f>
        <v>25  (22 , 28)</v>
      </c>
      <c r="E32" s="10" t="s">
        <v>167</v>
      </c>
      <c r="F32" s="53" t="s">
        <v>167</v>
      </c>
      <c r="Q32" s="4"/>
      <c r="S32" s="37"/>
      <c r="V32" s="1"/>
      <c r="AL32" s="27"/>
      <c r="AN32" s="27"/>
      <c r="AO32" s="27"/>
      <c r="AP32" s="27"/>
      <c r="BN32">
        <v>67.956415443888901</v>
      </c>
      <c r="BO32">
        <v>64.503411240277799</v>
      </c>
      <c r="BP32">
        <v>146.70591042402799</v>
      </c>
      <c r="BQ32">
        <v>99.809229825555605</v>
      </c>
      <c r="BR32">
        <v>133.74197239944499</v>
      </c>
      <c r="BS32">
        <v>94.955334268055594</v>
      </c>
      <c r="BT32">
        <v>106.091390834306</v>
      </c>
      <c r="BU32">
        <v>114.474363135</v>
      </c>
      <c r="BV32" t="s">
        <v>162</v>
      </c>
    </row>
    <row r="33" spans="2:75" ht="15" customHeight="1" x14ac:dyDescent="0.3">
      <c r="B33" s="48" t="s">
        <v>280</v>
      </c>
      <c r="C33" s="10" t="s">
        <v>392</v>
      </c>
      <c r="D33" s="10" t="str">
        <f>R38</f>
        <v>18  (15 , 27)</v>
      </c>
      <c r="E33" s="10" t="s">
        <v>167</v>
      </c>
      <c r="F33" s="53" t="s">
        <v>167</v>
      </c>
      <c r="Q33" s="4" t="s">
        <v>13</v>
      </c>
      <c r="R33" s="1" t="str">
        <f t="shared" ref="R33:R34" si="23">CONCATENATE(TEXT(S33,"0"), "  (", TEXT(T33,"0"), " , ", TEXT(U33,"0"), ")")</f>
        <v>80  (78 , 83)</v>
      </c>
      <c r="S33" s="37">
        <f>MEDIAN(AA26:AZ26)</f>
        <v>79.5</v>
      </c>
      <c r="T33">
        <f>_xlfn.PERCENTILE.INC(AA26:AZ26, 0.25)</f>
        <v>77.5</v>
      </c>
      <c r="U33">
        <f>_xlfn.PERCENTILE.INC(AA26:AZ26, 0.75)</f>
        <v>83.416666666666657</v>
      </c>
      <c r="V33" s="1" t="str">
        <f t="shared" ref="V33:V34" si="24">CONCATENATE(TEXT(W33,"0"), "  (", TEXT(X33,"0"), " , ", TEXT(Y33,"0"), ")")</f>
        <v>74  (86 , 81)</v>
      </c>
      <c r="W33">
        <f>MEDIAN(BE26:CC26)</f>
        <v>74.231017129629706</v>
      </c>
      <c r="X33">
        <f>_xlfn.PERCENTILE.INC(BE26:CC33, 0.25)</f>
        <v>86.090823423592852</v>
      </c>
      <c r="Y33">
        <f>_xlfn.PERCENTILE.INC(BE26:CC26, 0.75)</f>
        <v>80.697516330694498</v>
      </c>
      <c r="AI33" t="s">
        <v>162</v>
      </c>
      <c r="AJ33" t="s">
        <v>162</v>
      </c>
      <c r="BN33" s="37">
        <v>96.947845852407497</v>
      </c>
      <c r="BO33">
        <v>83.142722476203801</v>
      </c>
      <c r="BP33">
        <v>168.26217435601899</v>
      </c>
      <c r="BQ33">
        <v>131.249699686111</v>
      </c>
      <c r="BR33">
        <v>163.76747487324101</v>
      </c>
      <c r="BS33">
        <v>109.048183272315</v>
      </c>
      <c r="BT33">
        <v>136.06416607870401</v>
      </c>
      <c r="BU33">
        <v>131.65917642675899</v>
      </c>
      <c r="BV33" t="s">
        <v>162</v>
      </c>
    </row>
    <row r="34" spans="2:75" ht="15" customHeight="1" x14ac:dyDescent="0.3">
      <c r="B34" s="48" t="s">
        <v>304</v>
      </c>
      <c r="C34" s="10" t="s">
        <v>297</v>
      </c>
      <c r="D34" s="10" t="str">
        <f>R39</f>
        <v>10  (7 , 15)</v>
      </c>
      <c r="E34" s="10" t="s">
        <v>167</v>
      </c>
      <c r="F34" s="53" t="s">
        <v>167</v>
      </c>
      <c r="Q34" s="4" t="s">
        <v>14</v>
      </c>
      <c r="R34" s="1" t="str">
        <f t="shared" si="23"/>
        <v>99  (97 , 100)</v>
      </c>
      <c r="S34" s="37">
        <f>MEDIAN(AA27:AZ27)</f>
        <v>98.6</v>
      </c>
      <c r="T34">
        <f>_xlfn.PERCENTILE.INC(AA27:AZ27, 0.25)</f>
        <v>96.75</v>
      </c>
      <c r="U34">
        <f>_xlfn.PERCENTILE.INC(AA27:AZ27, 0.75)</f>
        <v>100</v>
      </c>
      <c r="V34" s="1" t="str">
        <f t="shared" si="24"/>
        <v>97  (96 , 98)</v>
      </c>
      <c r="W34">
        <f>MEDIAN(BE27:CC27)</f>
        <v>96.839889579019996</v>
      </c>
      <c r="X34">
        <f>_xlfn.PERCENTILE.INC(BE27:CC27, 0.25)</f>
        <v>96.206269349845201</v>
      </c>
      <c r="Y34">
        <f>_xlfn.PERCENTILE.INC(BE27:CC27, 0.75)</f>
        <v>97.992130750605355</v>
      </c>
      <c r="Z34" s="4" t="s">
        <v>16</v>
      </c>
      <c r="AA34" t="s">
        <v>162</v>
      </c>
      <c r="AB34" t="s">
        <v>162</v>
      </c>
      <c r="AC34">
        <f>AVERAGE(7.5, 7.2)</f>
        <v>7.35</v>
      </c>
      <c r="AD34">
        <v>10.199999999999999</v>
      </c>
      <c r="AE34">
        <v>11.1</v>
      </c>
      <c r="AF34">
        <v>8.1</v>
      </c>
      <c r="AG34" t="s">
        <v>162</v>
      </c>
      <c r="AH34">
        <v>8.5</v>
      </c>
      <c r="AI34" t="s">
        <v>162</v>
      </c>
      <c r="AJ34" t="s">
        <v>162</v>
      </c>
      <c r="AK34">
        <v>8.6</v>
      </c>
      <c r="AL34" s="27" t="s">
        <v>162</v>
      </c>
      <c r="AM34">
        <v>9.5</v>
      </c>
      <c r="AN34" s="27" t="s">
        <v>162</v>
      </c>
      <c r="AO34" s="27" t="s">
        <v>162</v>
      </c>
      <c r="AP34" s="27" t="s">
        <v>162</v>
      </c>
      <c r="AQ34">
        <v>9.6</v>
      </c>
      <c r="AR34" s="27" t="s">
        <v>162</v>
      </c>
      <c r="AS34" s="27" t="s">
        <v>162</v>
      </c>
      <c r="AT34">
        <v>6</v>
      </c>
      <c r="AU34">
        <v>12</v>
      </c>
      <c r="AV34">
        <v>7.1</v>
      </c>
      <c r="AW34">
        <v>9.1999999999999993</v>
      </c>
      <c r="BN34" s="58">
        <v>97.158677685950394</v>
      </c>
      <c r="BO34" s="58">
        <v>96.839889579019996</v>
      </c>
      <c r="BP34" s="58">
        <v>97.713879003558702</v>
      </c>
      <c r="BQ34" s="58">
        <v>97.557758031442305</v>
      </c>
      <c r="BR34" s="58">
        <v>96.685064935064901</v>
      </c>
      <c r="BS34" s="58">
        <v>96.984261501210696</v>
      </c>
      <c r="BT34" s="58">
        <v>96.273263433813895</v>
      </c>
      <c r="BU34" s="58">
        <v>96.514483627204001</v>
      </c>
      <c r="BV34" t="s">
        <v>162</v>
      </c>
    </row>
    <row r="35" spans="2:75" ht="15" customHeight="1" x14ac:dyDescent="0.3">
      <c r="B35" s="48" t="s">
        <v>305</v>
      </c>
      <c r="C35" s="10" t="s">
        <v>297</v>
      </c>
      <c r="D35" s="10" t="str">
        <f>R40</f>
        <v>86  (81 , 90)</v>
      </c>
      <c r="E35" s="10" t="s">
        <v>167</v>
      </c>
      <c r="F35" s="53" t="s">
        <v>167</v>
      </c>
      <c r="Z35" s="4" t="s">
        <v>17</v>
      </c>
      <c r="AA35" t="s">
        <v>162</v>
      </c>
      <c r="AB35" t="s">
        <v>162</v>
      </c>
      <c r="AC35">
        <f>AVERAGE(22, 21)</f>
        <v>21.5</v>
      </c>
      <c r="AD35">
        <v>30.1</v>
      </c>
      <c r="AE35">
        <v>30.8</v>
      </c>
      <c r="AF35">
        <v>22.5</v>
      </c>
      <c r="AG35" t="s">
        <v>162</v>
      </c>
      <c r="AH35">
        <v>24</v>
      </c>
      <c r="AI35" t="s">
        <v>162</v>
      </c>
      <c r="AJ35" t="s">
        <v>162</v>
      </c>
      <c r="AK35">
        <v>23.3</v>
      </c>
      <c r="AL35" s="27" t="s">
        <v>162</v>
      </c>
      <c r="AM35">
        <v>27.3</v>
      </c>
      <c r="AN35" s="27" t="s">
        <v>162</v>
      </c>
      <c r="AO35" s="27" t="s">
        <v>162</v>
      </c>
      <c r="AP35" s="27" t="s">
        <v>162</v>
      </c>
      <c r="AQ35">
        <v>26</v>
      </c>
      <c r="AR35" s="27" t="s">
        <v>162</v>
      </c>
      <c r="AS35" s="27" t="s">
        <v>162</v>
      </c>
      <c r="AT35">
        <v>16</v>
      </c>
      <c r="AU35">
        <v>32.299999999999997</v>
      </c>
      <c r="AV35">
        <v>19.100000000000001</v>
      </c>
      <c r="AW35">
        <v>26.1</v>
      </c>
      <c r="BN35">
        <v>87.718718739247393</v>
      </c>
      <c r="BO35">
        <v>102.41833677805499</v>
      </c>
      <c r="BP35">
        <v>103.491986642683</v>
      </c>
      <c r="BQ35">
        <v>69.124041920935497</v>
      </c>
      <c r="BR35">
        <v>60.2406508860809</v>
      </c>
      <c r="BS35">
        <v>71.374942418323997</v>
      </c>
      <c r="BT35">
        <v>57.692004646701598</v>
      </c>
      <c r="BU35">
        <v>87.46981193037</v>
      </c>
      <c r="BV35" t="s">
        <v>162</v>
      </c>
    </row>
    <row r="36" spans="2:75" ht="15" customHeight="1" x14ac:dyDescent="0.3">
      <c r="B36" s="48"/>
      <c r="C36" s="4"/>
      <c r="D36" s="10"/>
      <c r="E36" s="10"/>
      <c r="F36" s="53"/>
      <c r="Q36" s="4" t="s">
        <v>16</v>
      </c>
      <c r="R36" s="1" t="str">
        <f>CONCATENATE(TEXT(S36,"0.0"), "  (", TEXT(T36,"0.0"), " , ", TEXT(U36,"0.0"), ")")</f>
        <v>8.9  (7.9 , 9.8)</v>
      </c>
      <c r="S36" s="89">
        <f>MEDIAN(AA34:AZ34)</f>
        <v>8.8999999999999986</v>
      </c>
      <c r="T36" s="89">
        <f>_xlfn.PERCENTILE.INC(AA34:AZ34, 0.25)</f>
        <v>7.9124999999999996</v>
      </c>
      <c r="U36" s="89">
        <f>_xlfn.PERCENTILE.INC(AA34:AZ34, 0.75)</f>
        <v>9.75</v>
      </c>
      <c r="Z36" s="4" t="s">
        <v>393</v>
      </c>
      <c r="AA36" t="s">
        <v>162</v>
      </c>
      <c r="AB36" t="s">
        <v>162</v>
      </c>
      <c r="AC36" s="27" t="s">
        <v>162</v>
      </c>
      <c r="AD36">
        <v>28.169999999999998</v>
      </c>
      <c r="AE36">
        <v>16.899999999999999</v>
      </c>
      <c r="AF36">
        <v>31.95</v>
      </c>
      <c r="AG36" t="s">
        <v>162</v>
      </c>
      <c r="AH36">
        <v>20.669999999999998</v>
      </c>
      <c r="AI36" t="s">
        <v>162</v>
      </c>
      <c r="AJ36">
        <v>15.25</v>
      </c>
      <c r="AK36">
        <v>16.57</v>
      </c>
      <c r="AL36" s="27" t="s">
        <v>162</v>
      </c>
      <c r="AM36">
        <v>26.639999999999997</v>
      </c>
      <c r="AN36" s="27" t="s">
        <v>162</v>
      </c>
      <c r="AO36" s="27" t="s">
        <v>162</v>
      </c>
      <c r="AP36" s="27" t="s">
        <v>162</v>
      </c>
      <c r="AQ36">
        <v>14.12</v>
      </c>
      <c r="AR36" s="27" t="s">
        <v>162</v>
      </c>
      <c r="AS36" s="27" t="s">
        <v>162</v>
      </c>
      <c r="AT36">
        <v>13.440000000000001</v>
      </c>
      <c r="AU36">
        <v>13.02</v>
      </c>
      <c r="AV36">
        <v>39.81</v>
      </c>
      <c r="AW36">
        <v>18.169999999999998</v>
      </c>
    </row>
    <row r="37" spans="2:75" ht="15" customHeight="1" x14ac:dyDescent="0.3">
      <c r="B37" s="163" t="s">
        <v>540</v>
      </c>
      <c r="C37" s="164"/>
      <c r="D37" s="164"/>
      <c r="E37" s="164"/>
      <c r="F37" s="165"/>
      <c r="Q37" s="4" t="s">
        <v>17</v>
      </c>
      <c r="R37" s="1" t="str">
        <f t="shared" ref="R37:R40" si="25">CONCATENATE(TEXT(S37,"0"), "  (", TEXT(T37,"0"), " , ", TEXT(U37,"0"), ")")</f>
        <v>25  (22 , 28)</v>
      </c>
      <c r="S37" s="89">
        <f t="shared" ref="S37:S40" si="26">MEDIAN(AA35:AZ35)</f>
        <v>25</v>
      </c>
      <c r="T37" s="89">
        <f t="shared" ref="T37:T40" si="27">_xlfn.PERCENTILE.INC(AA35:AZ35, 0.25)</f>
        <v>22.25</v>
      </c>
      <c r="U37" s="89">
        <f t="shared" ref="U37:U40" si="28">_xlfn.PERCENTILE.INC(AA35:AZ35, 0.75)</f>
        <v>28</v>
      </c>
      <c r="Z37" s="4" t="s">
        <v>92</v>
      </c>
      <c r="AA37" t="s">
        <v>162</v>
      </c>
      <c r="AB37" t="s">
        <v>162</v>
      </c>
      <c r="AC37">
        <v>11</v>
      </c>
      <c r="AD37">
        <v>28</v>
      </c>
      <c r="AE37">
        <v>13.3</v>
      </c>
      <c r="AF37">
        <v>3</v>
      </c>
      <c r="AG37" t="s">
        <v>162</v>
      </c>
      <c r="AH37">
        <v>2.8</v>
      </c>
      <c r="AI37" t="s">
        <v>162</v>
      </c>
      <c r="AJ37" t="s">
        <v>162</v>
      </c>
      <c r="AK37">
        <v>20.8</v>
      </c>
      <c r="AL37" s="27" t="s">
        <v>162</v>
      </c>
      <c r="AM37">
        <v>8</v>
      </c>
      <c r="AN37" s="27" t="s">
        <v>162</v>
      </c>
      <c r="AO37" s="27" t="s">
        <v>162</v>
      </c>
      <c r="AP37" s="27" t="s">
        <v>162</v>
      </c>
      <c r="AQ37">
        <v>10.6</v>
      </c>
      <c r="AR37" s="27" t="s">
        <v>162</v>
      </c>
      <c r="AS37" s="27" t="s">
        <v>162</v>
      </c>
      <c r="AT37">
        <v>4.0999999999999996</v>
      </c>
      <c r="AU37">
        <v>45.3</v>
      </c>
      <c r="AV37">
        <v>7.8</v>
      </c>
      <c r="AW37">
        <v>9.4</v>
      </c>
    </row>
    <row r="38" spans="2:75" ht="15" customHeight="1" x14ac:dyDescent="0.3">
      <c r="B38" s="48" t="s">
        <v>44</v>
      </c>
      <c r="C38" s="10" t="s">
        <v>307</v>
      </c>
      <c r="D38" s="10" t="str">
        <f>R43</f>
        <v>10 (83.3%)</v>
      </c>
      <c r="E38" s="10" t="s">
        <v>167</v>
      </c>
      <c r="F38" s="53" t="s">
        <v>167</v>
      </c>
      <c r="Q38" s="4" t="s">
        <v>18</v>
      </c>
      <c r="R38" s="1" t="str">
        <f t="shared" si="25"/>
        <v>18  (15 , 27)</v>
      </c>
      <c r="S38" s="89">
        <f t="shared" si="26"/>
        <v>17.534999999999997</v>
      </c>
      <c r="T38" s="89">
        <f t="shared" si="27"/>
        <v>14.967499999999999</v>
      </c>
      <c r="U38" s="89">
        <f t="shared" si="28"/>
        <v>27.022499999999997</v>
      </c>
      <c r="Z38" s="4" t="s">
        <v>93</v>
      </c>
      <c r="AA38" t="s">
        <v>162</v>
      </c>
      <c r="AB38" t="s">
        <v>162</v>
      </c>
      <c r="AC38">
        <v>85.7</v>
      </c>
      <c r="AD38">
        <v>69.8</v>
      </c>
      <c r="AE38">
        <v>82.9</v>
      </c>
      <c r="AF38">
        <v>92.8</v>
      </c>
      <c r="AG38" t="s">
        <v>162</v>
      </c>
      <c r="AH38">
        <v>93</v>
      </c>
      <c r="AI38" t="s">
        <v>162</v>
      </c>
      <c r="AJ38" t="s">
        <v>162</v>
      </c>
      <c r="AK38">
        <v>75.8</v>
      </c>
      <c r="AL38" s="27" t="s">
        <v>162</v>
      </c>
      <c r="AM38">
        <v>89.5</v>
      </c>
      <c r="AN38" s="27" t="s">
        <v>162</v>
      </c>
      <c r="AO38" s="27" t="s">
        <v>162</v>
      </c>
      <c r="AP38" s="27" t="s">
        <v>162</v>
      </c>
      <c r="AQ38">
        <v>85</v>
      </c>
      <c r="AR38" s="27" t="s">
        <v>162</v>
      </c>
      <c r="AS38" s="27" t="s">
        <v>162</v>
      </c>
      <c r="AT38">
        <v>92.4</v>
      </c>
      <c r="AU38">
        <v>53.3</v>
      </c>
      <c r="AV38">
        <v>89.1</v>
      </c>
      <c r="AW38">
        <v>86.8</v>
      </c>
    </row>
    <row r="39" spans="2:75" ht="15" customHeight="1" thickBot="1" x14ac:dyDescent="0.35">
      <c r="B39" s="54" t="s">
        <v>170</v>
      </c>
      <c r="C39" s="55" t="s">
        <v>307</v>
      </c>
      <c r="D39" s="55" t="str">
        <f>R44</f>
        <v>3 (25%)</v>
      </c>
      <c r="E39" s="55" t="s">
        <v>167</v>
      </c>
      <c r="F39" s="56" t="s">
        <v>167</v>
      </c>
      <c r="Q39" s="4" t="s">
        <v>92</v>
      </c>
      <c r="R39" s="1" t="str">
        <f t="shared" si="25"/>
        <v>10  (7 , 15)</v>
      </c>
      <c r="S39" s="89">
        <f t="shared" si="26"/>
        <v>10</v>
      </c>
      <c r="T39" s="89">
        <f t="shared" si="27"/>
        <v>6.875</v>
      </c>
      <c r="U39" s="89">
        <f t="shared" si="28"/>
        <v>15.175000000000001</v>
      </c>
      <c r="AA39" t="s">
        <v>162</v>
      </c>
      <c r="AB39" t="s">
        <v>162</v>
      </c>
      <c r="AG39" t="s">
        <v>162</v>
      </c>
      <c r="AI39" t="s">
        <v>162</v>
      </c>
      <c r="AJ39" t="s">
        <v>162</v>
      </c>
    </row>
    <row r="40" spans="2:75" ht="15" customHeight="1" x14ac:dyDescent="0.3">
      <c r="Q40" s="4" t="s">
        <v>93</v>
      </c>
      <c r="R40" s="1" t="str">
        <f t="shared" si="25"/>
        <v>86  (81 , 90)</v>
      </c>
      <c r="S40" s="89">
        <f t="shared" si="26"/>
        <v>86.25</v>
      </c>
      <c r="T40" s="89">
        <f t="shared" si="27"/>
        <v>81.125</v>
      </c>
      <c r="U40" s="89">
        <f t="shared" si="28"/>
        <v>90.224999999999994</v>
      </c>
      <c r="AA40" t="s">
        <v>162</v>
      </c>
      <c r="AB40" t="s">
        <v>162</v>
      </c>
      <c r="AG40" t="s">
        <v>162</v>
      </c>
      <c r="AI40" t="s">
        <v>162</v>
      </c>
      <c r="AJ40" t="s">
        <v>162</v>
      </c>
    </row>
    <row r="41" spans="2:75" ht="15" customHeight="1" x14ac:dyDescent="0.3">
      <c r="R41" s="28" t="s">
        <v>158</v>
      </c>
      <c r="T41" s="38" t="s">
        <v>166</v>
      </c>
      <c r="U41" s="38" t="s">
        <v>165</v>
      </c>
      <c r="X41" s="38" t="s">
        <v>235</v>
      </c>
      <c r="Y41" s="38" t="s">
        <v>234</v>
      </c>
      <c r="Z41" s="2" t="s">
        <v>46</v>
      </c>
      <c r="AI41" t="s">
        <v>162</v>
      </c>
      <c r="AJ41" t="s">
        <v>162</v>
      </c>
    </row>
    <row r="42" spans="2:75" ht="15" customHeight="1" x14ac:dyDescent="0.3">
      <c r="B42" s="52" t="s">
        <v>94</v>
      </c>
      <c r="C42" s="95"/>
      <c r="D42" s="10"/>
      <c r="E42" s="10"/>
      <c r="F42" s="53"/>
      <c r="Q42" s="4" t="s">
        <v>45</v>
      </c>
      <c r="R42" s="1" t="str">
        <f>CONCATENATE(U42, ", (",T42,"%)")</f>
        <v>0, (0%)</v>
      </c>
      <c r="T42">
        <f>(U42/D$12)*100</f>
        <v>0</v>
      </c>
      <c r="U42">
        <f>COUNTIF(AA42:AZ42, "Yes")</f>
        <v>0</v>
      </c>
      <c r="Z42" s="4" t="s">
        <v>45</v>
      </c>
      <c r="AA42" t="s">
        <v>162</v>
      </c>
      <c r="AB42" t="s">
        <v>162</v>
      </c>
      <c r="AC42" t="s">
        <v>169</v>
      </c>
      <c r="AD42" t="s">
        <v>169</v>
      </c>
      <c r="AE42" t="s">
        <v>169</v>
      </c>
      <c r="AF42" t="s">
        <v>169</v>
      </c>
      <c r="AG42" t="s">
        <v>162</v>
      </c>
      <c r="AH42" t="s">
        <v>169</v>
      </c>
      <c r="AI42" t="s">
        <v>162</v>
      </c>
      <c r="AJ42" t="s">
        <v>162</v>
      </c>
      <c r="AK42" t="s">
        <v>169</v>
      </c>
      <c r="AL42" s="27" t="s">
        <v>162</v>
      </c>
      <c r="AM42" t="s">
        <v>169</v>
      </c>
      <c r="AN42" s="27" t="s">
        <v>162</v>
      </c>
      <c r="AO42" s="27" t="s">
        <v>162</v>
      </c>
      <c r="AP42" s="27" t="s">
        <v>162</v>
      </c>
      <c r="AQ42" t="s">
        <v>169</v>
      </c>
      <c r="AR42" s="27" t="s">
        <v>162</v>
      </c>
      <c r="AS42" s="27" t="s">
        <v>162</v>
      </c>
      <c r="AT42" t="s">
        <v>169</v>
      </c>
      <c r="AU42" t="s">
        <v>169</v>
      </c>
      <c r="AV42" t="s">
        <v>169</v>
      </c>
      <c r="AW42" t="s">
        <v>169</v>
      </c>
    </row>
    <row r="43" spans="2:75" ht="15" customHeight="1" x14ac:dyDescent="0.3">
      <c r="B43" s="48" t="s">
        <v>4</v>
      </c>
      <c r="C43" s="96"/>
      <c r="D43" s="10" t="s">
        <v>167</v>
      </c>
      <c r="E43" s="10" t="str">
        <f>V47</f>
        <v>10, (66.6%)</v>
      </c>
      <c r="F43" s="53" t="s">
        <v>167</v>
      </c>
      <c r="Q43" s="4" t="s">
        <v>44</v>
      </c>
      <c r="R43" s="1" t="str">
        <f>CONCATENATE(U43, " (",TRUNC(T43,1),"%)")</f>
        <v>10 (83.3%)</v>
      </c>
      <c r="T43" s="89">
        <f>(U43/D$12)*100</f>
        <v>83.333333333333343</v>
      </c>
      <c r="U43">
        <f t="shared" ref="U43:U44" si="29">COUNTIF(AA43:AZ43, "Yes")</f>
        <v>10</v>
      </c>
      <c r="Z43" s="4" t="s">
        <v>44</v>
      </c>
      <c r="AA43" t="s">
        <v>162</v>
      </c>
      <c r="AB43" t="s">
        <v>162</v>
      </c>
      <c r="AC43" t="s">
        <v>146</v>
      </c>
      <c r="AD43" t="s">
        <v>146</v>
      </c>
      <c r="AE43" t="s">
        <v>146</v>
      </c>
      <c r="AF43" t="s">
        <v>146</v>
      </c>
      <c r="AG43" t="s">
        <v>162</v>
      </c>
      <c r="AH43" t="s">
        <v>169</v>
      </c>
      <c r="AI43" t="s">
        <v>162</v>
      </c>
      <c r="AJ43" t="s">
        <v>162</v>
      </c>
      <c r="AK43" t="s">
        <v>146</v>
      </c>
      <c r="AL43" s="27" t="s">
        <v>162</v>
      </c>
      <c r="AM43" t="s">
        <v>169</v>
      </c>
      <c r="AN43" s="27" t="s">
        <v>162</v>
      </c>
      <c r="AO43" s="27" t="s">
        <v>162</v>
      </c>
      <c r="AP43" s="27" t="s">
        <v>162</v>
      </c>
      <c r="AQ43" t="s">
        <v>146</v>
      </c>
      <c r="AR43" s="27" t="s">
        <v>162</v>
      </c>
      <c r="AS43" s="27" t="s">
        <v>162</v>
      </c>
      <c r="AT43" t="s">
        <v>146</v>
      </c>
      <c r="AU43" t="s">
        <v>146</v>
      </c>
      <c r="AV43" t="s">
        <v>146</v>
      </c>
      <c r="AW43" t="s">
        <v>146</v>
      </c>
    </row>
    <row r="44" spans="2:75" ht="15" customHeight="1" x14ac:dyDescent="0.3">
      <c r="B44" s="48" t="s">
        <v>5</v>
      </c>
      <c r="C44" s="96"/>
      <c r="D44" s="10" t="str">
        <f>R48</f>
        <v>12, (100%)</v>
      </c>
      <c r="E44" s="10" t="str">
        <f t="shared" ref="E44:E45" si="30">V48</f>
        <v>2, (13.3%)</v>
      </c>
      <c r="F44" s="53" t="s">
        <v>167</v>
      </c>
      <c r="Q44" s="1" t="s">
        <v>170</v>
      </c>
      <c r="R44" s="1" t="str">
        <f>CONCATENATE(U44, " (",TRUNC(T44,1),"%)")</f>
        <v>3 (25%)</v>
      </c>
      <c r="T44" s="89">
        <f>(U44/D$12)*100</f>
        <v>25</v>
      </c>
      <c r="U44">
        <f t="shared" si="29"/>
        <v>3</v>
      </c>
      <c r="X44">
        <f>MAX(AA45:AZ45)</f>
        <v>1700</v>
      </c>
      <c r="Y44">
        <f>MIN(AA45:AZ45)</f>
        <v>100</v>
      </c>
      <c r="Z44" s="1" t="s">
        <v>170</v>
      </c>
      <c r="AA44" t="s">
        <v>162</v>
      </c>
      <c r="AB44" t="s">
        <v>162</v>
      </c>
      <c r="AC44" t="s">
        <v>169</v>
      </c>
      <c r="AD44" t="s">
        <v>169</v>
      </c>
      <c r="AE44" t="s">
        <v>169</v>
      </c>
      <c r="AF44" t="s">
        <v>146</v>
      </c>
      <c r="AG44" t="s">
        <v>162</v>
      </c>
      <c r="AH44" t="s">
        <v>146</v>
      </c>
      <c r="AI44" t="s">
        <v>162</v>
      </c>
      <c r="AJ44" t="s">
        <v>162</v>
      </c>
      <c r="AK44" t="s">
        <v>169</v>
      </c>
      <c r="AL44" s="27" t="s">
        <v>162</v>
      </c>
      <c r="AM44" t="s">
        <v>169</v>
      </c>
      <c r="AN44" s="27" t="s">
        <v>162</v>
      </c>
      <c r="AO44" s="27" t="s">
        <v>162</v>
      </c>
      <c r="AP44" s="27" t="s">
        <v>162</v>
      </c>
      <c r="AQ44" t="s">
        <v>169</v>
      </c>
      <c r="AR44" s="27" t="s">
        <v>162</v>
      </c>
      <c r="AS44" s="27" t="s">
        <v>162</v>
      </c>
      <c r="AT44" t="s">
        <v>169</v>
      </c>
      <c r="AU44" t="s">
        <v>169</v>
      </c>
      <c r="AV44" t="s">
        <v>146</v>
      </c>
      <c r="AW44" t="s">
        <v>169</v>
      </c>
    </row>
    <row r="45" spans="2:75" ht="15" customHeight="1" x14ac:dyDescent="0.3">
      <c r="B45" s="48" t="s">
        <v>6</v>
      </c>
      <c r="C45" s="96"/>
      <c r="D45" s="10" t="s">
        <v>167</v>
      </c>
      <c r="E45" s="10" t="str">
        <f t="shared" si="30"/>
        <v>3, (20%)</v>
      </c>
      <c r="F45" s="53" t="s">
        <v>167</v>
      </c>
      <c r="Q45" s="5" t="s">
        <v>236</v>
      </c>
      <c r="R45" s="1" t="str">
        <f>CONCATENATE(TRUNC(S45,3), "  (", TRUNC(T45,2), " , ", TRUNC(U45,2), ")")</f>
        <v>850  (750 , 900)</v>
      </c>
      <c r="S45">
        <f>MEDIAN(AA45:AZ45)</f>
        <v>850</v>
      </c>
      <c r="T45">
        <f>750</f>
        <v>750</v>
      </c>
      <c r="U45">
        <f>_xlfn.PERCENTILE.INC(AA45:AZ45, 0.75)</f>
        <v>900</v>
      </c>
      <c r="Z45" s="5" t="s">
        <v>236</v>
      </c>
      <c r="AA45" t="s">
        <v>162</v>
      </c>
      <c r="AB45" t="s">
        <v>162</v>
      </c>
      <c r="AC45">
        <v>800</v>
      </c>
      <c r="AD45">
        <v>1200</v>
      </c>
      <c r="AE45">
        <v>1700</v>
      </c>
      <c r="AF45">
        <v>800</v>
      </c>
      <c r="AG45" t="s">
        <v>162</v>
      </c>
      <c r="AH45" t="s">
        <v>162</v>
      </c>
      <c r="AI45" t="s">
        <v>162</v>
      </c>
      <c r="AJ45" t="s">
        <v>162</v>
      </c>
      <c r="AK45">
        <v>700</v>
      </c>
      <c r="AL45" t="s">
        <v>162</v>
      </c>
      <c r="AM45" t="s">
        <v>162</v>
      </c>
      <c r="AN45" t="s">
        <v>162</v>
      </c>
      <c r="AO45" t="s">
        <v>162</v>
      </c>
      <c r="AP45" t="s">
        <v>162</v>
      </c>
      <c r="AQ45">
        <v>900</v>
      </c>
      <c r="AR45" s="27" t="s">
        <v>162</v>
      </c>
      <c r="AS45" s="27" t="s">
        <v>162</v>
      </c>
      <c r="AT45">
        <v>750</v>
      </c>
      <c r="AU45">
        <v>100</v>
      </c>
      <c r="AV45">
        <v>900</v>
      </c>
      <c r="AW45">
        <v>900</v>
      </c>
    </row>
    <row r="46" spans="2:75" ht="15" customHeight="1" x14ac:dyDescent="0.3">
      <c r="R46" s="28" t="s">
        <v>158</v>
      </c>
      <c r="T46" s="38" t="s">
        <v>166</v>
      </c>
      <c r="U46" s="38" t="s">
        <v>165</v>
      </c>
      <c r="V46" s="38" t="s">
        <v>158</v>
      </c>
      <c r="X46" s="38" t="s">
        <v>166</v>
      </c>
      <c r="Y46" s="38" t="s">
        <v>165</v>
      </c>
      <c r="AA46" t="s">
        <v>162</v>
      </c>
    </row>
    <row r="47" spans="2:75" ht="15" customHeight="1" x14ac:dyDescent="0.3">
      <c r="V47" t="str">
        <f>CONCATENATE(Y47, ", (",TRUNC(X47*100,1),"%)")</f>
        <v>10, (66.6%)</v>
      </c>
      <c r="X47">
        <f>Y47/SUM(Y$47:Y$49)</f>
        <v>0.66666666666666663</v>
      </c>
      <c r="Y47">
        <f>COUNTIF(BE47:CC47, "Yes" )</f>
        <v>10</v>
      </c>
      <c r="Z47" s="48" t="s">
        <v>4</v>
      </c>
      <c r="AA47" t="s">
        <v>162</v>
      </c>
      <c r="AB47" t="s">
        <v>162</v>
      </c>
      <c r="AG47" t="s">
        <v>162</v>
      </c>
      <c r="AI47" t="s">
        <v>162</v>
      </c>
      <c r="AJ47" t="s">
        <v>162</v>
      </c>
      <c r="AL47" s="27" t="s">
        <v>162</v>
      </c>
      <c r="AN47" s="27" t="s">
        <v>162</v>
      </c>
      <c r="AO47" s="27" t="s">
        <v>162</v>
      </c>
      <c r="AP47" s="27" t="s">
        <v>162</v>
      </c>
      <c r="AR47" s="27" t="s">
        <v>162</v>
      </c>
      <c r="AS47" s="27" t="s">
        <v>162</v>
      </c>
      <c r="BD47" s="48" t="s">
        <v>4</v>
      </c>
      <c r="BE47" t="s">
        <v>146</v>
      </c>
      <c r="BF47" t="s">
        <v>146</v>
      </c>
      <c r="BG47" t="s">
        <v>162</v>
      </c>
      <c r="BH47" t="s">
        <v>162</v>
      </c>
      <c r="BJ47" t="s">
        <v>146</v>
      </c>
      <c r="BM47" t="s">
        <v>146</v>
      </c>
      <c r="BO47" t="s">
        <v>146</v>
      </c>
      <c r="BP47" t="s">
        <v>146</v>
      </c>
      <c r="BQ47" t="s">
        <v>146</v>
      </c>
      <c r="BR47" t="s">
        <v>146</v>
      </c>
      <c r="BT47" t="s">
        <v>162</v>
      </c>
      <c r="BU47" t="s">
        <v>146</v>
      </c>
      <c r="BV47" t="s">
        <v>162</v>
      </c>
      <c r="BW47" t="s">
        <v>146</v>
      </c>
    </row>
    <row r="48" spans="2:75" ht="15" customHeight="1" x14ac:dyDescent="0.3">
      <c r="R48" s="1" t="str">
        <f>CONCATENATE(D12, ", (",100,"%)")</f>
        <v>12, (100%)</v>
      </c>
      <c r="V48" t="str">
        <f t="shared" ref="V48:V49" si="31">CONCATENATE(Y48, ", (",TRUNC(X48*100,1),"%)")</f>
        <v>2, (13.3%)</v>
      </c>
      <c r="X48">
        <f>Y48/SUM(Y$47:Y$49)</f>
        <v>0.13333333333333333</v>
      </c>
      <c r="Y48">
        <f t="shared" ref="Y48:Y49" si="32">COUNTIF(BE48:CC48, "Yes" )</f>
        <v>2</v>
      </c>
      <c r="Z48" s="48" t="s">
        <v>5</v>
      </c>
      <c r="AA48" t="s">
        <v>162</v>
      </c>
      <c r="AB48" t="s">
        <v>162</v>
      </c>
      <c r="AC48" t="s">
        <v>146</v>
      </c>
      <c r="AD48" t="s">
        <v>146</v>
      </c>
      <c r="AE48" t="s">
        <v>146</v>
      </c>
      <c r="AF48" t="s">
        <v>146</v>
      </c>
      <c r="AG48" t="s">
        <v>162</v>
      </c>
      <c r="AH48" t="s">
        <v>146</v>
      </c>
      <c r="AI48" t="s">
        <v>162</v>
      </c>
      <c r="AJ48" t="s">
        <v>162</v>
      </c>
      <c r="AK48" t="s">
        <v>146</v>
      </c>
      <c r="AL48" s="27" t="s">
        <v>162</v>
      </c>
      <c r="AM48" t="s">
        <v>146</v>
      </c>
      <c r="AN48" s="27" t="s">
        <v>162</v>
      </c>
      <c r="AO48" s="27" t="s">
        <v>162</v>
      </c>
      <c r="AP48" s="27" t="s">
        <v>162</v>
      </c>
      <c r="AQ48" t="s">
        <v>146</v>
      </c>
      <c r="AR48" s="27" t="s">
        <v>162</v>
      </c>
      <c r="AS48" s="27" t="s">
        <v>162</v>
      </c>
      <c r="AT48" t="s">
        <v>146</v>
      </c>
      <c r="AU48" t="s">
        <v>146</v>
      </c>
      <c r="AV48" t="s">
        <v>146</v>
      </c>
      <c r="AW48" t="s">
        <v>146</v>
      </c>
      <c r="BD48" s="48" t="s">
        <v>5</v>
      </c>
      <c r="BH48" t="s">
        <v>162</v>
      </c>
      <c r="BK48" t="s">
        <v>146</v>
      </c>
      <c r="BL48" t="s">
        <v>146</v>
      </c>
      <c r="BV48" t="s">
        <v>162</v>
      </c>
    </row>
    <row r="49" spans="20:74" ht="15" customHeight="1" x14ac:dyDescent="0.3">
      <c r="V49" t="str">
        <f t="shared" si="31"/>
        <v>3, (20%)</v>
      </c>
      <c r="X49">
        <f>Y49/SUM(Y$47:Y$49)</f>
        <v>0.2</v>
      </c>
      <c r="Y49">
        <f t="shared" si="32"/>
        <v>3</v>
      </c>
      <c r="Z49" s="48" t="s">
        <v>6</v>
      </c>
      <c r="AA49" t="s">
        <v>162</v>
      </c>
      <c r="BD49" s="48" t="s">
        <v>6</v>
      </c>
      <c r="BH49" t="s">
        <v>162</v>
      </c>
      <c r="BI49" t="s">
        <v>146</v>
      </c>
      <c r="BN49" t="s">
        <v>146</v>
      </c>
      <c r="BS49" t="s">
        <v>146</v>
      </c>
      <c r="BV49" t="s">
        <v>162</v>
      </c>
    </row>
    <row r="50" spans="20:74" ht="15" customHeight="1" x14ac:dyDescent="0.3">
      <c r="T50" t="s">
        <v>536</v>
      </c>
    </row>
    <row r="51" spans="20:74" x14ac:dyDescent="0.3">
      <c r="Y51" s="38" t="s">
        <v>278</v>
      </c>
    </row>
    <row r="52" spans="20:74" x14ac:dyDescent="0.3">
      <c r="Y52">
        <f>SUM(Y47:Y49)</f>
        <v>15</v>
      </c>
    </row>
  </sheetData>
  <mergeCells count="7">
    <mergeCell ref="B37:F37"/>
    <mergeCell ref="B15:C15"/>
    <mergeCell ref="B11:F11"/>
    <mergeCell ref="B16:F16"/>
    <mergeCell ref="B20:F20"/>
    <mergeCell ref="B26:F26"/>
    <mergeCell ref="B30:F30"/>
  </mergeCells>
  <pageMargins left="0.25" right="0.25" top="0.75" bottom="0.75" header="0.3" footer="0.3"/>
  <pageSetup scale="1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22B5-FDA9-45DB-B333-73EEB55836DA}">
  <dimension ref="A1:G51"/>
  <sheetViews>
    <sheetView topLeftCell="A20" zoomScale="85" zoomScaleNormal="85" workbookViewId="0">
      <selection activeCell="A30" sqref="A30:E51"/>
    </sheetView>
  </sheetViews>
  <sheetFormatPr defaultRowHeight="14.4" x14ac:dyDescent="0.3"/>
  <cols>
    <col min="1" max="1" width="22.5546875" customWidth="1"/>
    <col min="2" max="3" width="40.6640625" customWidth="1"/>
    <col min="4" max="4" width="6.88671875" customWidth="1"/>
    <col min="5" max="6" width="40.6640625" customWidth="1"/>
    <col min="7" max="13" width="21.6640625" customWidth="1"/>
  </cols>
  <sheetData>
    <row r="1" spans="1:7" x14ac:dyDescent="0.3">
      <c r="A1" t="s">
        <v>42</v>
      </c>
      <c r="B1" s="7">
        <v>44972</v>
      </c>
    </row>
    <row r="3" spans="1:7" ht="25.8" x14ac:dyDescent="0.5">
      <c r="A3" s="73" t="s">
        <v>245</v>
      </c>
    </row>
    <row r="4" spans="1:7" x14ac:dyDescent="0.3">
      <c r="B4" s="193" t="s">
        <v>38</v>
      </c>
      <c r="C4" s="193"/>
      <c r="D4" s="72"/>
      <c r="E4" s="193" t="s">
        <v>41</v>
      </c>
      <c r="F4" s="193"/>
    </row>
    <row r="5" spans="1:7" x14ac:dyDescent="0.3">
      <c r="A5" s="4"/>
      <c r="B5" s="8" t="s">
        <v>7</v>
      </c>
      <c r="C5" s="8" t="s">
        <v>0</v>
      </c>
      <c r="D5" s="8"/>
      <c r="E5" s="8" t="s">
        <v>7</v>
      </c>
      <c r="F5" s="8" t="s">
        <v>0</v>
      </c>
      <c r="G5" s="1" t="s">
        <v>8</v>
      </c>
    </row>
    <row r="6" spans="1:7" x14ac:dyDescent="0.3">
      <c r="A6" s="4" t="s">
        <v>243</v>
      </c>
      <c r="B6" s="10" t="s">
        <v>91</v>
      </c>
      <c r="C6" s="10"/>
      <c r="D6" s="10"/>
      <c r="E6" s="10" t="s">
        <v>91</v>
      </c>
      <c r="F6" s="10"/>
      <c r="G6" s="27" t="s">
        <v>90</v>
      </c>
    </row>
    <row r="7" spans="1:7" x14ac:dyDescent="0.3">
      <c r="A7" s="5" t="s">
        <v>244</v>
      </c>
      <c r="B7" s="10"/>
      <c r="C7" s="10"/>
      <c r="D7" s="10"/>
      <c r="E7" s="10"/>
      <c r="F7" s="10"/>
      <c r="G7" s="27" t="s">
        <v>82</v>
      </c>
    </row>
    <row r="8" spans="1:7" x14ac:dyDescent="0.3">
      <c r="A8" s="4" t="s">
        <v>81</v>
      </c>
      <c r="B8" s="10"/>
      <c r="C8" s="10"/>
      <c r="D8" s="10"/>
      <c r="E8" s="10"/>
      <c r="F8" s="10"/>
    </row>
    <row r="9" spans="1:7" x14ac:dyDescent="0.3">
      <c r="A9" s="4" t="s">
        <v>80</v>
      </c>
      <c r="B9" s="10"/>
      <c r="C9" s="10"/>
      <c r="D9" s="10"/>
      <c r="E9" s="10"/>
      <c r="F9" s="10"/>
    </row>
    <row r="11" spans="1:7" x14ac:dyDescent="0.3">
      <c r="C11" t="s">
        <v>247</v>
      </c>
    </row>
    <row r="12" spans="1:7" ht="25.8" x14ac:dyDescent="0.5">
      <c r="A12" s="73" t="s">
        <v>246</v>
      </c>
    </row>
    <row r="15" spans="1:7" x14ac:dyDescent="0.3">
      <c r="A15" s="4"/>
      <c r="B15" s="8" t="s">
        <v>7</v>
      </c>
      <c r="C15" s="8" t="s">
        <v>0</v>
      </c>
      <c r="D15" s="74"/>
    </row>
    <row r="16" spans="1:7" x14ac:dyDescent="0.3">
      <c r="A16" s="5"/>
      <c r="B16" s="193" t="s">
        <v>38</v>
      </c>
      <c r="C16" s="193"/>
      <c r="D16" s="71"/>
      <c r="E16" s="1" t="s">
        <v>8</v>
      </c>
    </row>
    <row r="17" spans="1:5" x14ac:dyDescent="0.3">
      <c r="A17" s="4" t="s">
        <v>243</v>
      </c>
      <c r="B17" s="10" t="s">
        <v>91</v>
      </c>
      <c r="C17" s="10"/>
      <c r="D17" s="39"/>
      <c r="E17" s="27" t="s">
        <v>90</v>
      </c>
    </row>
    <row r="18" spans="1:5" x14ac:dyDescent="0.3">
      <c r="A18" s="5" t="s">
        <v>244</v>
      </c>
      <c r="B18" s="10"/>
      <c r="C18" s="10"/>
      <c r="D18" s="39"/>
      <c r="E18" s="27" t="s">
        <v>82</v>
      </c>
    </row>
    <row r="19" spans="1:5" x14ac:dyDescent="0.3">
      <c r="A19" s="4" t="s">
        <v>81</v>
      </c>
      <c r="B19" s="10"/>
      <c r="C19" s="10"/>
      <c r="D19" s="39"/>
    </row>
    <row r="20" spans="1:5" x14ac:dyDescent="0.3">
      <c r="A20" s="4" t="s">
        <v>80</v>
      </c>
      <c r="B20" s="10"/>
      <c r="C20" s="10"/>
      <c r="D20" s="39"/>
    </row>
    <row r="21" spans="1:5" x14ac:dyDescent="0.3">
      <c r="A21" s="5"/>
      <c r="B21" s="193" t="s">
        <v>41</v>
      </c>
      <c r="C21" s="193"/>
      <c r="D21" s="71"/>
    </row>
    <row r="22" spans="1:5" x14ac:dyDescent="0.3">
      <c r="A22" s="4" t="s">
        <v>243</v>
      </c>
      <c r="B22" s="10" t="s">
        <v>91</v>
      </c>
      <c r="C22" s="10"/>
      <c r="D22" s="39"/>
    </row>
    <row r="23" spans="1:5" x14ac:dyDescent="0.3">
      <c r="A23" s="5" t="s">
        <v>244</v>
      </c>
      <c r="B23" s="10"/>
      <c r="C23" s="10"/>
      <c r="D23" s="39"/>
    </row>
    <row r="24" spans="1:5" x14ac:dyDescent="0.3">
      <c r="A24" s="4" t="s">
        <v>81</v>
      </c>
      <c r="B24" s="10"/>
      <c r="C24" s="10"/>
      <c r="D24" s="39"/>
    </row>
    <row r="25" spans="1:5" x14ac:dyDescent="0.3">
      <c r="A25" s="4" t="s">
        <v>80</v>
      </c>
      <c r="B25" s="10"/>
      <c r="C25" s="10"/>
      <c r="D25" s="39"/>
    </row>
    <row r="27" spans="1:5" x14ac:dyDescent="0.3">
      <c r="B27" t="s">
        <v>248</v>
      </c>
    </row>
    <row r="30" spans="1:5" ht="25.8" x14ac:dyDescent="0.5">
      <c r="A30" s="73" t="s">
        <v>249</v>
      </c>
    </row>
    <row r="32" spans="1:5" ht="15" thickBot="1" x14ac:dyDescent="0.35"/>
    <row r="33" spans="1:5" x14ac:dyDescent="0.3">
      <c r="A33" s="75"/>
      <c r="B33" s="46" t="s">
        <v>7</v>
      </c>
      <c r="C33" s="47" t="s">
        <v>0</v>
      </c>
    </row>
    <row r="34" spans="1:5" x14ac:dyDescent="0.3">
      <c r="A34" s="76"/>
      <c r="B34" s="193" t="s">
        <v>38</v>
      </c>
      <c r="C34" s="194"/>
      <c r="E34" s="1" t="s">
        <v>8</v>
      </c>
    </row>
    <row r="35" spans="1:5" x14ac:dyDescent="0.3">
      <c r="A35" s="76" t="s">
        <v>252</v>
      </c>
      <c r="B35" s="10" t="s">
        <v>253</v>
      </c>
      <c r="C35" s="53" t="s">
        <v>254</v>
      </c>
      <c r="E35" s="1"/>
    </row>
    <row r="36" spans="1:5" x14ac:dyDescent="0.3">
      <c r="A36" s="76"/>
      <c r="B36" s="10"/>
      <c r="C36" s="53"/>
      <c r="E36" s="1"/>
    </row>
    <row r="37" spans="1:5" x14ac:dyDescent="0.3">
      <c r="A37" s="77" t="s">
        <v>251</v>
      </c>
      <c r="B37" s="10"/>
      <c r="C37" s="53"/>
      <c r="E37" s="1"/>
    </row>
    <row r="38" spans="1:5" x14ac:dyDescent="0.3">
      <c r="A38" s="48" t="s">
        <v>243</v>
      </c>
      <c r="B38" s="10" t="s">
        <v>91</v>
      </c>
      <c r="C38" s="53"/>
      <c r="E38" s="27" t="s">
        <v>90</v>
      </c>
    </row>
    <row r="39" spans="1:5" x14ac:dyDescent="0.3">
      <c r="A39" s="76" t="s">
        <v>244</v>
      </c>
      <c r="B39" s="10"/>
      <c r="C39" s="53"/>
      <c r="E39" s="27" t="s">
        <v>82</v>
      </c>
    </row>
    <row r="40" spans="1:5" x14ac:dyDescent="0.3">
      <c r="A40" s="48" t="s">
        <v>81</v>
      </c>
      <c r="B40" s="10"/>
      <c r="C40" s="53"/>
    </row>
    <row r="41" spans="1:5" x14ac:dyDescent="0.3">
      <c r="A41" s="48" t="s">
        <v>80</v>
      </c>
      <c r="B41" s="10"/>
      <c r="C41" s="53"/>
    </row>
    <row r="42" spans="1:5" x14ac:dyDescent="0.3">
      <c r="A42" s="76"/>
      <c r="B42" s="193" t="s">
        <v>41</v>
      </c>
      <c r="C42" s="194"/>
    </row>
    <row r="43" spans="1:5" x14ac:dyDescent="0.3">
      <c r="A43" s="76" t="s">
        <v>250</v>
      </c>
      <c r="B43" s="10" t="s">
        <v>253</v>
      </c>
      <c r="C43" s="53" t="s">
        <v>254</v>
      </c>
      <c r="E43" t="s">
        <v>255</v>
      </c>
    </row>
    <row r="44" spans="1:5" x14ac:dyDescent="0.3">
      <c r="A44" s="78"/>
      <c r="B44" s="10"/>
      <c r="C44" s="53"/>
    </row>
    <row r="45" spans="1:5" x14ac:dyDescent="0.3">
      <c r="A45" s="77" t="s">
        <v>251</v>
      </c>
      <c r="B45" s="10"/>
      <c r="C45" s="53"/>
    </row>
    <row r="46" spans="1:5" x14ac:dyDescent="0.3">
      <c r="A46" s="48" t="s">
        <v>243</v>
      </c>
      <c r="B46" s="10" t="s">
        <v>91</v>
      </c>
      <c r="C46" s="53"/>
    </row>
    <row r="47" spans="1:5" x14ac:dyDescent="0.3">
      <c r="A47" s="76" t="s">
        <v>244</v>
      </c>
      <c r="B47" s="10"/>
      <c r="C47" s="53"/>
    </row>
    <row r="48" spans="1:5" x14ac:dyDescent="0.3">
      <c r="A48" s="48" t="s">
        <v>81</v>
      </c>
      <c r="B48" s="10"/>
      <c r="C48" s="53"/>
    </row>
    <row r="49" spans="1:3" ht="15" thickBot="1" x14ac:dyDescent="0.35">
      <c r="A49" s="51" t="s">
        <v>80</v>
      </c>
      <c r="B49" s="55"/>
      <c r="C49" s="56"/>
    </row>
    <row r="51" spans="1:3" x14ac:dyDescent="0.3">
      <c r="B51" t="s">
        <v>248</v>
      </c>
    </row>
  </sheetData>
  <mergeCells count="6">
    <mergeCell ref="E4:F4"/>
    <mergeCell ref="B16:C16"/>
    <mergeCell ref="B21:C21"/>
    <mergeCell ref="B34:C34"/>
    <mergeCell ref="B42:C42"/>
    <mergeCell ref="B4:C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D5A6-589F-4627-98EF-4A614A973668}">
  <dimension ref="A1:CD52"/>
  <sheetViews>
    <sheetView zoomScale="85" zoomScaleNormal="85" workbookViewId="0">
      <pane xSplit="1" ySplit="7" topLeftCell="B41" activePane="bottomRight" state="frozen"/>
      <selection pane="topRight" activeCell="B1" sqref="B1"/>
      <selection pane="bottomLeft" activeCell="A8" sqref="A8"/>
      <selection pane="bottomRight" activeCell="B47" sqref="B47"/>
    </sheetView>
  </sheetViews>
  <sheetFormatPr defaultRowHeight="14.4" x14ac:dyDescent="0.3"/>
  <cols>
    <col min="1" max="1" width="41.6640625" customWidth="1"/>
    <col min="2" max="2" width="28.109375" customWidth="1"/>
    <col min="3" max="3" width="28" customWidth="1"/>
    <col min="4" max="4" width="22.5546875" customWidth="1"/>
    <col min="5" max="5" width="22.44140625" customWidth="1"/>
    <col min="6" max="6" width="23.109375" customWidth="1"/>
    <col min="7" max="7" width="34.33203125" customWidth="1"/>
    <col min="8" max="11" width="12.6640625" customWidth="1"/>
    <col min="12" max="12" width="32.88671875" customWidth="1"/>
    <col min="13" max="22" width="12.6640625" customWidth="1"/>
    <col min="23" max="23" width="28.33203125" customWidth="1"/>
    <col min="24" max="52" width="12.6640625" customWidth="1"/>
    <col min="53" max="53" width="23.109375" customWidth="1"/>
    <col min="54" max="81" width="12.6640625" customWidth="1"/>
  </cols>
  <sheetData>
    <row r="1" spans="1:82" x14ac:dyDescent="0.3">
      <c r="A1" t="s">
        <v>42</v>
      </c>
      <c r="B1" s="7">
        <v>44959</v>
      </c>
      <c r="H1" s="11" t="s">
        <v>47</v>
      </c>
      <c r="I1" s="11"/>
      <c r="J1" s="11"/>
      <c r="K1" s="11"/>
      <c r="L1" s="11"/>
      <c r="M1" s="11"/>
      <c r="N1" s="11"/>
      <c r="O1" s="11"/>
      <c r="P1" s="12"/>
      <c r="Q1" s="12"/>
      <c r="R1" s="12"/>
      <c r="S1" s="12"/>
      <c r="T1" s="12"/>
      <c r="U1" s="12"/>
      <c r="V1" s="12"/>
      <c r="X1" s="13" t="s">
        <v>48</v>
      </c>
      <c r="Y1" s="13"/>
      <c r="Z1" s="13"/>
      <c r="AA1" s="13"/>
    </row>
    <row r="3" spans="1:82" x14ac:dyDescent="0.3">
      <c r="X3" s="14"/>
      <c r="Y3" s="15" t="s">
        <v>49</v>
      </c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BA3" s="16"/>
      <c r="BB3" s="17"/>
      <c r="BC3" s="17"/>
      <c r="BD3" s="17"/>
      <c r="BE3" s="17"/>
      <c r="BF3" s="18" t="s">
        <v>50</v>
      </c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</row>
    <row r="4" spans="1:82" x14ac:dyDescent="0.3">
      <c r="BA4" s="16"/>
    </row>
    <row r="5" spans="1:82" ht="43.2" x14ac:dyDescent="0.3">
      <c r="E5" s="1"/>
      <c r="F5" s="1"/>
      <c r="W5" t="s">
        <v>96</v>
      </c>
      <c r="X5" s="1" t="s">
        <v>51</v>
      </c>
      <c r="Y5" s="1" t="s">
        <v>52</v>
      </c>
      <c r="Z5" s="1" t="s">
        <v>53</v>
      </c>
      <c r="AA5" s="1" t="s">
        <v>54</v>
      </c>
      <c r="AB5" s="1" t="s">
        <v>55</v>
      </c>
      <c r="AC5" s="1" t="s">
        <v>56</v>
      </c>
      <c r="AD5" s="1" t="s">
        <v>97</v>
      </c>
      <c r="AE5" s="29" t="s">
        <v>98</v>
      </c>
      <c r="AF5" s="29" t="s">
        <v>99</v>
      </c>
      <c r="AG5" s="29" t="s">
        <v>100</v>
      </c>
      <c r="AH5" s="29" t="s">
        <v>101</v>
      </c>
      <c r="AI5" s="29" t="s">
        <v>102</v>
      </c>
      <c r="AJ5" s="29" t="s">
        <v>103</v>
      </c>
      <c r="AK5" s="29" t="s">
        <v>104</v>
      </c>
      <c r="AL5" s="1" t="s">
        <v>105</v>
      </c>
      <c r="AM5" s="1" t="s">
        <v>106</v>
      </c>
      <c r="AN5" s="1" t="s">
        <v>107</v>
      </c>
      <c r="AO5" s="1" t="s">
        <v>108</v>
      </c>
      <c r="AP5" s="1" t="s">
        <v>109</v>
      </c>
      <c r="AQ5" s="1" t="s">
        <v>110</v>
      </c>
      <c r="AR5" s="1" t="s">
        <v>111</v>
      </c>
      <c r="AS5" s="1" t="s">
        <v>112</v>
      </c>
      <c r="AT5" s="1" t="s">
        <v>113</v>
      </c>
      <c r="AU5" s="1" t="s">
        <v>114</v>
      </c>
      <c r="AV5" s="1" t="s">
        <v>115</v>
      </c>
      <c r="AW5" s="1" t="s">
        <v>116</v>
      </c>
      <c r="AX5" s="1"/>
      <c r="AZ5" s="30" t="s">
        <v>117</v>
      </c>
      <c r="BA5" s="16"/>
      <c r="BJ5" s="29" t="s">
        <v>118</v>
      </c>
      <c r="BK5" s="31" t="s">
        <v>119</v>
      </c>
      <c r="BL5" s="31" t="s">
        <v>120</v>
      </c>
      <c r="BM5" s="31" t="s">
        <v>121</v>
      </c>
      <c r="BN5" s="32" t="s">
        <v>122</v>
      </c>
      <c r="BO5" s="32" t="s">
        <v>123</v>
      </c>
      <c r="BP5" s="33" t="s">
        <v>124</v>
      </c>
      <c r="BQ5" s="33" t="s">
        <v>125</v>
      </c>
      <c r="BR5" s="33" t="s">
        <v>126</v>
      </c>
      <c r="BS5" s="33" t="s">
        <v>127</v>
      </c>
      <c r="BT5" s="33" t="s">
        <v>128</v>
      </c>
      <c r="BU5" s="33" t="s">
        <v>129</v>
      </c>
      <c r="BV5" s="33" t="s">
        <v>130</v>
      </c>
      <c r="BW5" s="33" t="s">
        <v>131</v>
      </c>
      <c r="BX5" s="33" t="s">
        <v>132</v>
      </c>
      <c r="BY5" s="33" t="s">
        <v>133</v>
      </c>
      <c r="BZ5" s="33" t="s">
        <v>134</v>
      </c>
    </row>
    <row r="6" spans="1:82" ht="28.8" x14ac:dyDescent="0.3">
      <c r="I6" s="38" t="s">
        <v>163</v>
      </c>
      <c r="W6" t="s">
        <v>135</v>
      </c>
      <c r="AC6" s="1" t="s">
        <v>136</v>
      </c>
      <c r="AD6" s="1" t="s">
        <v>137</v>
      </c>
      <c r="AE6" s="1"/>
      <c r="AF6" s="1" t="s">
        <v>138</v>
      </c>
      <c r="AG6" s="1" t="s">
        <v>139</v>
      </c>
      <c r="AH6" s="19" t="s">
        <v>61</v>
      </c>
      <c r="AI6" s="34" t="s">
        <v>62</v>
      </c>
      <c r="AJ6" s="19" t="s">
        <v>140</v>
      </c>
      <c r="AK6" s="34" t="s">
        <v>141</v>
      </c>
      <c r="AZ6">
        <v>12</v>
      </c>
      <c r="BA6" s="16"/>
    </row>
    <row r="7" spans="1:82" s="24" customFormat="1" ht="28.8" x14ac:dyDescent="0.3">
      <c r="G7" s="28" t="s">
        <v>8</v>
      </c>
      <c r="H7"/>
      <c r="I7" s="28" t="s">
        <v>158</v>
      </c>
      <c r="J7" t="s">
        <v>43</v>
      </c>
      <c r="K7"/>
      <c r="L7" t="s">
        <v>164</v>
      </c>
      <c r="M7" s="15" t="s">
        <v>49</v>
      </c>
      <c r="N7" s="18" t="s">
        <v>50</v>
      </c>
      <c r="O7" s="14"/>
      <c r="P7" s="15" t="s">
        <v>49</v>
      </c>
      <c r="Q7" s="14"/>
      <c r="R7" s="14"/>
      <c r="S7" s="17"/>
      <c r="T7" s="18" t="s">
        <v>50</v>
      </c>
      <c r="U7" s="17"/>
      <c r="V7" s="17"/>
      <c r="W7" t="s">
        <v>142</v>
      </c>
      <c r="X7" s="19" t="s">
        <v>51</v>
      </c>
      <c r="Y7" s="20" t="s">
        <v>52</v>
      </c>
      <c r="Z7" s="19" t="s">
        <v>53</v>
      </c>
      <c r="AA7" s="19" t="s">
        <v>54</v>
      </c>
      <c r="AB7" s="35" t="s">
        <v>55</v>
      </c>
      <c r="AC7" s="35" t="s">
        <v>56</v>
      </c>
      <c r="AD7" s="20" t="s">
        <v>57</v>
      </c>
      <c r="AE7" s="35" t="s">
        <v>58</v>
      </c>
      <c r="AF7" s="35" t="s">
        <v>59</v>
      </c>
      <c r="AG7" s="35" t="s">
        <v>60</v>
      </c>
      <c r="AH7" s="19" t="s">
        <v>61</v>
      </c>
      <c r="AI7" t="s">
        <v>143</v>
      </c>
      <c r="AJ7" s="19" t="s">
        <v>62</v>
      </c>
      <c r="AK7" t="s">
        <v>143</v>
      </c>
      <c r="AL7" s="1" t="s">
        <v>105</v>
      </c>
      <c r="AM7" s="1" t="s">
        <v>106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/>
      <c r="AY7" s="1"/>
      <c r="AZ7" s="1"/>
      <c r="BA7" s="21"/>
      <c r="BB7" s="19" t="s">
        <v>63</v>
      </c>
      <c r="BC7" s="19" t="s">
        <v>64</v>
      </c>
      <c r="BD7" s="36" t="s">
        <v>65</v>
      </c>
      <c r="BE7" s="22" t="s">
        <v>66</v>
      </c>
      <c r="BF7" s="19" t="s">
        <v>67</v>
      </c>
      <c r="BG7" s="36" t="s">
        <v>68</v>
      </c>
      <c r="BH7" s="19" t="s">
        <v>69</v>
      </c>
      <c r="BI7" s="19" t="s">
        <v>70</v>
      </c>
      <c r="BJ7" s="19" t="s">
        <v>71</v>
      </c>
      <c r="BK7" s="31" t="s">
        <v>119</v>
      </c>
      <c r="BL7" s="31" t="s">
        <v>120</v>
      </c>
      <c r="BM7" s="31" t="s">
        <v>121</v>
      </c>
      <c r="BN7" s="32" t="s">
        <v>122</v>
      </c>
      <c r="BO7" s="32" t="s">
        <v>123</v>
      </c>
      <c r="BP7" s="33" t="s">
        <v>124</v>
      </c>
      <c r="BQ7" s="33" t="s">
        <v>125</v>
      </c>
      <c r="BR7" s="33" t="s">
        <v>126</v>
      </c>
      <c r="BS7" s="33" t="s">
        <v>127</v>
      </c>
      <c r="BT7" s="33" t="s">
        <v>128</v>
      </c>
      <c r="BU7" s="33" t="s">
        <v>129</v>
      </c>
      <c r="BV7" s="33" t="s">
        <v>130</v>
      </c>
      <c r="BW7" s="33" t="s">
        <v>131</v>
      </c>
      <c r="BX7" s="33" t="s">
        <v>132</v>
      </c>
      <c r="BY7" s="33" t="s">
        <v>133</v>
      </c>
      <c r="BZ7" s="33" t="s">
        <v>134</v>
      </c>
      <c r="CA7"/>
      <c r="CB7"/>
      <c r="CC7"/>
      <c r="CD7"/>
    </row>
    <row r="8" spans="1:82" ht="25.8" x14ac:dyDescent="0.5">
      <c r="A8" s="57" t="s">
        <v>174</v>
      </c>
    </row>
    <row r="9" spans="1:82" x14ac:dyDescent="0.3">
      <c r="A9" t="s">
        <v>42</v>
      </c>
      <c r="B9" s="7">
        <v>44959</v>
      </c>
    </row>
    <row r="10" spans="1:82" ht="29.4" thickBot="1" x14ac:dyDescent="0.35">
      <c r="M10" s="38" t="s">
        <v>218</v>
      </c>
      <c r="N10" s="38"/>
      <c r="O10" s="28" t="s">
        <v>158</v>
      </c>
      <c r="P10" s="28" t="s">
        <v>147</v>
      </c>
      <c r="Q10" s="28" t="s">
        <v>156</v>
      </c>
      <c r="R10" s="28" t="s">
        <v>157</v>
      </c>
      <c r="S10" s="28" t="s">
        <v>158</v>
      </c>
      <c r="T10" s="28" t="s">
        <v>147</v>
      </c>
      <c r="U10" s="28" t="s">
        <v>156</v>
      </c>
      <c r="V10" s="28" t="s">
        <v>157</v>
      </c>
      <c r="X10" s="28" t="s">
        <v>178</v>
      </c>
      <c r="Y10" t="s">
        <v>215</v>
      </c>
    </row>
    <row r="11" spans="1:82" x14ac:dyDescent="0.3">
      <c r="A11" s="45" t="s">
        <v>37</v>
      </c>
      <c r="B11" s="46" t="s">
        <v>7</v>
      </c>
      <c r="C11" s="46" t="s">
        <v>0</v>
      </c>
      <c r="D11" s="47" t="s">
        <v>43</v>
      </c>
      <c r="M11" t="s">
        <v>219</v>
      </c>
      <c r="O11" t="s">
        <v>220</v>
      </c>
      <c r="X11" t="s">
        <v>177</v>
      </c>
      <c r="Y11" t="s">
        <v>176</v>
      </c>
    </row>
    <row r="12" spans="1:82" x14ac:dyDescent="0.3">
      <c r="A12" s="48"/>
      <c r="B12" s="10"/>
      <c r="C12" s="10"/>
      <c r="D12" s="53"/>
      <c r="M12" t="s">
        <v>215</v>
      </c>
      <c r="O12" t="s">
        <v>220</v>
      </c>
      <c r="Y12" t="s">
        <v>179</v>
      </c>
    </row>
    <row r="13" spans="1:82" x14ac:dyDescent="0.3">
      <c r="A13" s="49" t="s">
        <v>74</v>
      </c>
      <c r="B13" s="25"/>
      <c r="C13" s="25"/>
      <c r="D13" s="67"/>
      <c r="M13" s="28" t="s">
        <v>178</v>
      </c>
      <c r="N13" s="28"/>
      <c r="W13" s="49" t="s">
        <v>74</v>
      </c>
      <c r="BA13" s="49" t="s">
        <v>74</v>
      </c>
    </row>
    <row r="14" spans="1:82" x14ac:dyDescent="0.3">
      <c r="A14" s="50" t="s">
        <v>38</v>
      </c>
      <c r="B14" s="10"/>
      <c r="C14" s="10"/>
      <c r="D14" s="53"/>
      <c r="W14" s="50" t="s">
        <v>38</v>
      </c>
      <c r="BA14" s="50" t="s">
        <v>38</v>
      </c>
    </row>
    <row r="15" spans="1:82" x14ac:dyDescent="0.3">
      <c r="A15" s="48" t="s">
        <v>39</v>
      </c>
      <c r="B15" s="10" t="str">
        <f>O15</f>
        <v>1.6,  (1.31 , 1.85); N= 6/10</v>
      </c>
      <c r="C15" s="10" t="str">
        <f>S15</f>
        <v>3.11,  (1.98 , 3.29); N=9/9</v>
      </c>
      <c r="D15" s="53" t="str">
        <f>I15</f>
        <v>&lt;0.05</v>
      </c>
      <c r="G15" t="s">
        <v>95</v>
      </c>
      <c r="I15" t="s">
        <v>217</v>
      </c>
      <c r="J15">
        <f>_xlfn.T.TEST(X15:AW15,BB15:BZ15,2,2)</f>
        <v>2.6634270401251988E-2</v>
      </c>
      <c r="L15" t="s">
        <v>171</v>
      </c>
      <c r="M15" s="68" t="s">
        <v>221</v>
      </c>
      <c r="N15" s="68" t="s">
        <v>225</v>
      </c>
      <c r="O15" t="str">
        <f>CONCATENATE(TRUNC(P15,2), ",  (", TRUNC(Q15,2), " , ", TRUNC(R15,2), "); ", M15)</f>
        <v>1.6,  (1.31 , 1.85); N= 6/10</v>
      </c>
      <c r="P15">
        <f>MEDIAN(X15:AW15)</f>
        <v>1.607661181126725</v>
      </c>
      <c r="Q15">
        <f>_xlfn.PERCENTILE.INC(X15:AW15, 0.25)</f>
        <v>1.3183050366020126</v>
      </c>
      <c r="R15">
        <f>_xlfn.PERCENTILE.INC(X15:AW15, 0.75)</f>
        <v>1.8589755904960925</v>
      </c>
      <c r="S15" t="str">
        <f>CONCATENATE(TRUNC(T15,2), ",  (", TRUNC(U15,2), " , ", TRUNC(V15,2), "); ", N15)</f>
        <v>3.11,  (1.98 , 3.29); N=9/9</v>
      </c>
      <c r="T15">
        <f>MEDIAN(BB15:BZ15)</f>
        <v>3.1119846373829398</v>
      </c>
      <c r="U15">
        <f>_xlfn.PERCENTILE.INC(BB15:BZ15, 0.25)</f>
        <v>1.9882420560591374</v>
      </c>
      <c r="V15">
        <f>_xlfn.PERCENTILE.INC(BB15:BZ15, 0.75)</f>
        <v>3.290022687332955</v>
      </c>
      <c r="W15" s="48" t="s">
        <v>39</v>
      </c>
      <c r="X15" s="58">
        <v>2.8195488086367302</v>
      </c>
      <c r="Y15" s="59" t="s">
        <v>162</v>
      </c>
      <c r="Z15" s="58">
        <v>1.0353460761712401</v>
      </c>
      <c r="AA15" s="60">
        <v>1.2682005701616701</v>
      </c>
      <c r="AB15" s="58">
        <v>1.4686184359230401</v>
      </c>
      <c r="AC15" s="59" t="s">
        <v>162</v>
      </c>
      <c r="AD15" s="58" t="s">
        <v>162</v>
      </c>
      <c r="AE15">
        <v>1.7467039263304101</v>
      </c>
      <c r="AF15" s="61" t="s">
        <v>162</v>
      </c>
      <c r="AG15" s="61" t="s">
        <v>162</v>
      </c>
      <c r="AH15">
        <v>1.8963994785513201</v>
      </c>
      <c r="AI15" s="58" t="s">
        <v>162</v>
      </c>
      <c r="AJ15" s="61" t="s">
        <v>162</v>
      </c>
      <c r="AK15" s="58" t="s">
        <v>162</v>
      </c>
      <c r="AL15" s="27"/>
      <c r="AM15" s="27"/>
      <c r="BA15" s="48" t="s">
        <v>39</v>
      </c>
      <c r="BB15" s="58">
        <v>2.2898171326099801</v>
      </c>
      <c r="BC15" s="58">
        <v>3.3007979309730899</v>
      </c>
      <c r="BD15" s="58">
        <v>1.5905242855573101</v>
      </c>
      <c r="BE15" s="60" t="s">
        <v>162</v>
      </c>
      <c r="BF15" s="58">
        <v>4.0945895135836201</v>
      </c>
      <c r="BG15" s="58">
        <v>1.4709913135435499</v>
      </c>
      <c r="BH15" s="58">
        <v>3.2054336749115202</v>
      </c>
      <c r="BI15" s="58">
        <v>3.0185355998543599</v>
      </c>
      <c r="BJ15" s="58">
        <v>3.2576969564125502</v>
      </c>
      <c r="BK15" s="58">
        <v>4.4483988255018403</v>
      </c>
      <c r="BL15" s="58">
        <v>1.88771703054219</v>
      </c>
    </row>
    <row r="16" spans="1:82" x14ac:dyDescent="0.3">
      <c r="A16" s="48" t="s">
        <v>40</v>
      </c>
      <c r="B16" s="10" t="str">
        <f>O16</f>
        <v>1.8,  (1.66 , 1.86); N= 4/10</v>
      </c>
      <c r="C16" s="10" t="str">
        <f>S16</f>
        <v>1.76,  (1.28 , 2.18); N=9/9</v>
      </c>
      <c r="D16" s="53" t="str">
        <f>I16</f>
        <v>N.S.</v>
      </c>
      <c r="G16" s="10" t="s">
        <v>26</v>
      </c>
      <c r="I16" t="s">
        <v>173</v>
      </c>
      <c r="J16">
        <f>_xlfn.T.TEST(X16:AW16,BB16:BZ16,2,2)</f>
        <v>0.88174070895171153</v>
      </c>
      <c r="L16" t="s">
        <v>171</v>
      </c>
      <c r="M16" s="68" t="s">
        <v>222</v>
      </c>
      <c r="N16" s="68" t="s">
        <v>225</v>
      </c>
      <c r="O16" t="str">
        <f>CONCATENATE(TRUNC(P16,2), ",  (", TRUNC(Q16,2), " , ", TRUNC(R16,2), "); ", M16)</f>
        <v>1.8,  (1.66 , 1.86); N= 4/10</v>
      </c>
      <c r="P16">
        <f>MEDIAN(X16:AW16)</f>
        <v>1.8082043668973848</v>
      </c>
      <c r="Q16">
        <f>_xlfn.PERCENTILE.INC(X16:AW16, 0.25)</f>
        <v>1.6680855322082924</v>
      </c>
      <c r="R16">
        <f>_xlfn.PERCENTILE.INC(X16:AW16, 0.75)</f>
        <v>1.8683160883630749</v>
      </c>
      <c r="S16" t="str">
        <f t="shared" ref="S16:S19" si="0">CONCATENATE(TRUNC(T16,2), ",  (", TRUNC(U16,2), " , ", TRUNC(V16,2), "); ", N16)</f>
        <v>1.76,  (1.28 , 2.18); N=9/9</v>
      </c>
      <c r="T16">
        <f>MEDIAN(BB16:BZ16)</f>
        <v>1.76030318711992</v>
      </c>
      <c r="U16">
        <f>_xlfn.PERCENTILE.INC(BB16:BZ16, 0.25)</f>
        <v>1.2868346518979323</v>
      </c>
      <c r="V16">
        <f>_xlfn.PERCENTILE.INC(BB16:BZ16, 0.75)</f>
        <v>2.1884314345073728</v>
      </c>
      <c r="W16" s="48" t="s">
        <v>40</v>
      </c>
      <c r="X16" s="58">
        <v>1.92065960521003</v>
      </c>
      <c r="Y16" s="59" t="s">
        <v>162</v>
      </c>
      <c r="Z16" s="58">
        <v>1.85086824941409</v>
      </c>
      <c r="AA16" s="58">
        <v>1.37572067569113</v>
      </c>
      <c r="AB16" s="59" t="s">
        <v>162</v>
      </c>
      <c r="AC16" s="59" t="s">
        <v>162</v>
      </c>
      <c r="AD16" s="58" t="s">
        <v>162</v>
      </c>
      <c r="AE16" s="61" t="s">
        <v>162</v>
      </c>
      <c r="AF16" s="61" t="s">
        <v>162</v>
      </c>
      <c r="AG16" s="61" t="s">
        <v>162</v>
      </c>
      <c r="AH16">
        <v>1.7655404843806799</v>
      </c>
      <c r="AI16" s="58" t="s">
        <v>162</v>
      </c>
      <c r="AJ16" s="61" t="s">
        <v>162</v>
      </c>
      <c r="AK16" s="58" t="s">
        <v>162</v>
      </c>
      <c r="BA16" s="48" t="s">
        <v>40</v>
      </c>
      <c r="BB16" s="58">
        <v>1.11700846174386</v>
      </c>
      <c r="BC16" s="58">
        <v>1.6979104140009</v>
      </c>
      <c r="BD16" s="58">
        <v>1.27268754</v>
      </c>
      <c r="BE16" s="62" t="s">
        <v>162</v>
      </c>
      <c r="BF16" s="58">
        <v>2.2407940760098302</v>
      </c>
      <c r="BG16" s="58">
        <v>2.0313435100000001</v>
      </c>
      <c r="BH16" s="58">
        <v>2.7796820045573698</v>
      </c>
      <c r="BI16" s="58">
        <v>1.8226959602389401</v>
      </c>
      <c r="BJ16" s="58">
        <v>0.78493182229421399</v>
      </c>
      <c r="BK16" s="58">
        <v>2.7424048162087602</v>
      </c>
      <c r="BL16" s="58">
        <v>1.3292759875917299</v>
      </c>
    </row>
    <row r="17" spans="1:64" x14ac:dyDescent="0.3">
      <c r="A17" s="50" t="s">
        <v>41</v>
      </c>
      <c r="B17" s="10"/>
      <c r="C17" s="10"/>
      <c r="D17" s="53"/>
      <c r="W17" s="50" t="s">
        <v>41</v>
      </c>
      <c r="BA17" s="50" t="s">
        <v>41</v>
      </c>
    </row>
    <row r="18" spans="1:64" x14ac:dyDescent="0.3">
      <c r="A18" s="48" t="s">
        <v>39</v>
      </c>
      <c r="B18" s="10" t="str">
        <f t="shared" ref="B18:B19" si="1">O18</f>
        <v>1.81,  (1.49 , 3.89); N= 6/7</v>
      </c>
      <c r="C18" s="10" t="str">
        <f t="shared" ref="C18:C19" si="2">S18</f>
        <v>2.05,  (1.47 , 2.28); N=3/3</v>
      </c>
      <c r="D18" s="53" t="str">
        <f t="shared" ref="D18:D19" si="3">I18</f>
        <v>N.S.</v>
      </c>
      <c r="I18" t="s">
        <v>173</v>
      </c>
      <c r="J18">
        <f>_xlfn.T.TEST(X18:AW18,BB18:BZ18,2,2)</f>
        <v>0.43714190164887645</v>
      </c>
      <c r="L18" t="s">
        <v>171</v>
      </c>
      <c r="M18" s="68" t="s">
        <v>223</v>
      </c>
      <c r="N18" s="68" t="s">
        <v>226</v>
      </c>
      <c r="O18" t="str">
        <f>CONCATENATE(TRUNC(P18,2), ",  (", TRUNC(Q18,2), " , ", TRUNC(R18,2), "); ", M18)</f>
        <v>1.81,  (1.49 , 3.89); N= 6/7</v>
      </c>
      <c r="P18">
        <f>MEDIAN(X18:AW18)</f>
        <v>1.81213566339176</v>
      </c>
      <c r="Q18">
        <f>_xlfn.PERCENTILE.INC(X18:AW18, 0.25)</f>
        <v>1.4972449398191223</v>
      </c>
      <c r="R18">
        <f>_xlfn.PERCENTILE.INC(X18:AW18, 0.75)</f>
        <v>3.8917854788803403</v>
      </c>
      <c r="S18" t="str">
        <f t="shared" si="0"/>
        <v>2.05,  (1.47 , 2.28); N=3/3</v>
      </c>
      <c r="T18">
        <f>MEDIAN(BB18:BZ18)</f>
        <v>2.05084081707346</v>
      </c>
      <c r="U18">
        <f>_xlfn.PERCENTILE.INC(BB18:BZ18, 0.25)</f>
        <v>1.4720019555091706</v>
      </c>
      <c r="V18">
        <f>_xlfn.PERCENTILE.INC(BB18:BZ18, 0.75)</f>
        <v>2.2824425779627102</v>
      </c>
      <c r="W18" s="48" t="s">
        <v>39</v>
      </c>
      <c r="X18" t="s">
        <v>162</v>
      </c>
      <c r="Y18" t="s">
        <v>162</v>
      </c>
      <c r="Z18" t="s">
        <v>162</v>
      </c>
      <c r="AA18" t="s">
        <v>162</v>
      </c>
      <c r="AB18" s="58">
        <v>9.2743941970288297</v>
      </c>
      <c r="AC18" s="58">
        <v>1.4161592237265099</v>
      </c>
      <c r="AD18" s="58" t="s">
        <v>162</v>
      </c>
      <c r="AE18" s="58">
        <v>1.7405020880969599</v>
      </c>
      <c r="AF18" s="58">
        <v>4.5611242256116</v>
      </c>
      <c r="AG18" s="58" t="s">
        <v>162</v>
      </c>
      <c r="AH18" s="58">
        <v>1.40354475865929</v>
      </c>
      <c r="AI18" s="58" t="s">
        <v>162</v>
      </c>
      <c r="AJ18" s="58">
        <v>1.8837692386865601</v>
      </c>
      <c r="AK18" s="58" t="s">
        <v>162</v>
      </c>
      <c r="BA18" s="48" t="s">
        <v>39</v>
      </c>
      <c r="BB18" t="s">
        <v>162</v>
      </c>
      <c r="BC18" t="s">
        <v>162</v>
      </c>
      <c r="BD18" t="s">
        <v>162</v>
      </c>
      <c r="BE18" t="s">
        <v>162</v>
      </c>
      <c r="BF18" t="s">
        <v>162</v>
      </c>
      <c r="BG18" t="s">
        <v>162</v>
      </c>
      <c r="BH18" t="s">
        <v>162</v>
      </c>
      <c r="BI18" t="s">
        <v>162</v>
      </c>
      <c r="BJ18" s="58">
        <v>0.89316309394488103</v>
      </c>
      <c r="BK18" s="58">
        <v>2.05084081707346</v>
      </c>
      <c r="BL18" s="58">
        <v>2.51404433885196</v>
      </c>
    </row>
    <row r="19" spans="1:64" x14ac:dyDescent="0.3">
      <c r="A19" s="48" t="s">
        <v>40</v>
      </c>
      <c r="B19" s="10" t="str">
        <f t="shared" si="1"/>
        <v>1.87,  (1.46 , 3.36); N= 3/7</v>
      </c>
      <c r="C19" s="10" t="str">
        <f t="shared" si="2"/>
        <v>1.38,  (0.95 , 1.54); N=3/3</v>
      </c>
      <c r="D19" s="53" t="str">
        <f t="shared" si="3"/>
        <v>N.S.</v>
      </c>
      <c r="I19" t="s">
        <v>173</v>
      </c>
      <c r="J19">
        <f>_xlfn.T.TEST(X19:AW19,BB19:BZ19,2,2)</f>
        <v>0.31240336695199494</v>
      </c>
      <c r="L19" t="s">
        <v>171</v>
      </c>
      <c r="M19" s="68" t="s">
        <v>224</v>
      </c>
      <c r="N19" s="68" t="s">
        <v>226</v>
      </c>
      <c r="O19" t="str">
        <f t="shared" ref="O19" si="4">CONCATENATE(TRUNC(P19,2), ",  (", TRUNC(Q19,2), " , ", TRUNC(R19,2), "); ", M19)</f>
        <v>1.87,  (1.46 , 3.36); N= 3/7</v>
      </c>
      <c r="P19">
        <f>MEDIAN(X19:AW19)</f>
        <v>1.8748035499796001</v>
      </c>
      <c r="Q19">
        <f>_xlfn.PERCENTILE.INC(X19:AW19, 0.25)</f>
        <v>1.4682627475103351</v>
      </c>
      <c r="R19">
        <f>_xlfn.PERCENTILE.INC(X19:AW19, 0.75)</f>
        <v>3.3689035135184149</v>
      </c>
      <c r="S19" t="str">
        <f t="shared" si="0"/>
        <v>1.38,  (0.95 , 1.54); N=3/3</v>
      </c>
      <c r="T19">
        <f>MEDIAN(BB19:BZ19)</f>
        <v>1.3880612417202001</v>
      </c>
      <c r="U19">
        <f>_xlfn.PERCENTILE.INC(BB19:BZ19, 0.25)</f>
        <v>0.95671034210980754</v>
      </c>
      <c r="V19">
        <f>_xlfn.PERCENTILE.INC(BB19:BZ19, 0.75)</f>
        <v>1.5444071577252849</v>
      </c>
      <c r="W19" s="48" t="s">
        <v>40</v>
      </c>
      <c r="X19" t="s">
        <v>162</v>
      </c>
      <c r="Y19" t="s">
        <v>162</v>
      </c>
      <c r="Z19" t="s">
        <v>162</v>
      </c>
      <c r="AA19" t="s">
        <v>162</v>
      </c>
      <c r="AB19" s="58">
        <v>4.8630034770572301</v>
      </c>
      <c r="AC19" s="59" t="s">
        <v>162</v>
      </c>
      <c r="AD19" s="58" t="s">
        <v>162</v>
      </c>
      <c r="AE19" s="61" t="s">
        <v>162</v>
      </c>
      <c r="AF19" s="62">
        <v>1.06172194504107</v>
      </c>
      <c r="AG19" s="58" t="s">
        <v>162</v>
      </c>
      <c r="AH19" s="58">
        <v>1.8748035499796001</v>
      </c>
      <c r="AI19" s="58" t="s">
        <v>162</v>
      </c>
      <c r="AJ19" s="61" t="s">
        <v>162</v>
      </c>
      <c r="AK19" s="58" t="s">
        <v>162</v>
      </c>
      <c r="BA19" s="48" t="s">
        <v>40</v>
      </c>
      <c r="BB19" t="s">
        <v>162</v>
      </c>
      <c r="BC19" t="s">
        <v>162</v>
      </c>
      <c r="BD19" t="s">
        <v>162</v>
      </c>
      <c r="BE19" t="s">
        <v>162</v>
      </c>
      <c r="BF19" t="s">
        <v>162</v>
      </c>
      <c r="BG19" t="s">
        <v>162</v>
      </c>
      <c r="BH19" t="s">
        <v>162</v>
      </c>
      <c r="BI19" t="s">
        <v>162</v>
      </c>
      <c r="BJ19" s="58">
        <v>0.52535944249941502</v>
      </c>
      <c r="BK19" s="58">
        <v>1.3880612417202001</v>
      </c>
      <c r="BL19" s="58">
        <v>1.70075307373037</v>
      </c>
    </row>
    <row r="20" spans="1:64" ht="15" thickBot="1" x14ac:dyDescent="0.35">
      <c r="A20" s="51"/>
      <c r="B20" s="55"/>
      <c r="C20" s="55"/>
      <c r="D20" s="56"/>
    </row>
    <row r="24" spans="1:64" x14ac:dyDescent="0.3">
      <c r="A24" s="42" t="s">
        <v>75</v>
      </c>
      <c r="B24" s="43" t="s">
        <v>76</v>
      </c>
      <c r="C24" s="44"/>
      <c r="D24" s="44"/>
    </row>
    <row r="25" spans="1:64" x14ac:dyDescent="0.3">
      <c r="A25" s="41" t="s">
        <v>38</v>
      </c>
      <c r="B25" s="4"/>
      <c r="C25" s="4"/>
      <c r="D25" s="4"/>
    </row>
    <row r="26" spans="1:64" x14ac:dyDescent="0.3">
      <c r="A26" s="4" t="s">
        <v>39</v>
      </c>
      <c r="B26" s="4" t="s">
        <v>26</v>
      </c>
      <c r="C26" s="4"/>
      <c r="D26" s="4"/>
    </row>
    <row r="27" spans="1:64" x14ac:dyDescent="0.3">
      <c r="A27" s="4" t="s">
        <v>40</v>
      </c>
      <c r="B27" s="4" t="s">
        <v>26</v>
      </c>
      <c r="C27" s="4"/>
      <c r="D27" s="4"/>
    </row>
    <row r="28" spans="1:64" x14ac:dyDescent="0.3">
      <c r="A28" s="41" t="s">
        <v>41</v>
      </c>
      <c r="B28" s="4"/>
      <c r="C28" s="4"/>
      <c r="D28" s="4"/>
    </row>
    <row r="29" spans="1:64" x14ac:dyDescent="0.3">
      <c r="A29" s="4" t="s">
        <v>39</v>
      </c>
      <c r="B29" s="4" t="s">
        <v>26</v>
      </c>
      <c r="C29" s="4"/>
      <c r="D29" s="4"/>
    </row>
    <row r="30" spans="1:64" x14ac:dyDescent="0.3">
      <c r="A30" s="4" t="s">
        <v>40</v>
      </c>
      <c r="B30" s="4" t="s">
        <v>26</v>
      </c>
      <c r="C30" s="4"/>
      <c r="D30" s="4"/>
    </row>
    <row r="34" spans="1:69" x14ac:dyDescent="0.3">
      <c r="X34" s="28" t="s">
        <v>178</v>
      </c>
      <c r="Y34" t="s">
        <v>215</v>
      </c>
    </row>
    <row r="35" spans="1:69" x14ac:dyDescent="0.3">
      <c r="X35" t="s">
        <v>177</v>
      </c>
      <c r="Y35" t="s">
        <v>216</v>
      </c>
    </row>
    <row r="36" spans="1:69" x14ac:dyDescent="0.3">
      <c r="Y36" t="s">
        <v>179</v>
      </c>
    </row>
    <row r="37" spans="1:69" x14ac:dyDescent="0.3">
      <c r="W37" s="1" t="s">
        <v>187</v>
      </c>
      <c r="X37" t="s">
        <v>188</v>
      </c>
      <c r="Y37" t="s">
        <v>189</v>
      </c>
      <c r="Z37" t="s">
        <v>190</v>
      </c>
      <c r="AA37" t="s">
        <v>191</v>
      </c>
      <c r="AB37" t="s">
        <v>192</v>
      </c>
      <c r="AC37" t="s">
        <v>193</v>
      </c>
      <c r="AD37" t="s">
        <v>194</v>
      </c>
      <c r="AE37" t="s">
        <v>194</v>
      </c>
      <c r="AF37" t="s">
        <v>195</v>
      </c>
      <c r="AG37" t="s">
        <v>196</v>
      </c>
      <c r="AH37" t="s">
        <v>197</v>
      </c>
      <c r="AI37" t="s">
        <v>198</v>
      </c>
      <c r="AJ37" t="s">
        <v>199</v>
      </c>
      <c r="AK37" t="s">
        <v>200</v>
      </c>
      <c r="BA37" s="1" t="s">
        <v>187</v>
      </c>
      <c r="BB37" t="s">
        <v>202</v>
      </c>
      <c r="BC37" t="s">
        <v>198</v>
      </c>
      <c r="BD37" t="s">
        <v>203</v>
      </c>
      <c r="BE37" t="s">
        <v>204</v>
      </c>
      <c r="BF37" t="s">
        <v>205</v>
      </c>
      <c r="BG37" t="s">
        <v>206</v>
      </c>
      <c r="BH37" t="s">
        <v>207</v>
      </c>
      <c r="BI37" t="s">
        <v>208</v>
      </c>
      <c r="BJ37" t="s">
        <v>209</v>
      </c>
      <c r="BK37" t="s">
        <v>210</v>
      </c>
      <c r="BL37" t="s">
        <v>203</v>
      </c>
      <c r="BM37" t="s">
        <v>211</v>
      </c>
      <c r="BN37" t="s">
        <v>212</v>
      </c>
      <c r="BO37" t="s">
        <v>213</v>
      </c>
      <c r="BP37" t="s">
        <v>211</v>
      </c>
      <c r="BQ37" t="s">
        <v>193</v>
      </c>
    </row>
    <row r="38" spans="1:69" x14ac:dyDescent="0.3">
      <c r="W38" s="1" t="s">
        <v>201</v>
      </c>
      <c r="X38">
        <v>12</v>
      </c>
      <c r="Y38">
        <v>9</v>
      </c>
      <c r="Z38">
        <v>10</v>
      </c>
      <c r="AA38">
        <v>10</v>
      </c>
      <c r="AB38">
        <v>14</v>
      </c>
      <c r="AC38">
        <v>15</v>
      </c>
      <c r="AD38">
        <v>18</v>
      </c>
      <c r="AE38">
        <v>18</v>
      </c>
      <c r="AF38">
        <v>18</v>
      </c>
      <c r="AG38">
        <v>14</v>
      </c>
      <c r="AH38">
        <v>10</v>
      </c>
      <c r="AI38">
        <v>7</v>
      </c>
      <c r="AJ38">
        <v>14</v>
      </c>
      <c r="AK38">
        <v>13</v>
      </c>
      <c r="BA38" s="1" t="s">
        <v>201</v>
      </c>
      <c r="BB38">
        <v>10</v>
      </c>
      <c r="BC38">
        <v>7</v>
      </c>
      <c r="BD38">
        <v>7</v>
      </c>
      <c r="BE38">
        <v>7</v>
      </c>
      <c r="BF38">
        <v>11</v>
      </c>
      <c r="BG38">
        <v>9</v>
      </c>
      <c r="BH38">
        <v>9</v>
      </c>
      <c r="BI38">
        <v>6</v>
      </c>
      <c r="BJ38">
        <v>13</v>
      </c>
      <c r="BK38">
        <v>8</v>
      </c>
      <c r="BL38">
        <v>7</v>
      </c>
      <c r="BM38">
        <v>11</v>
      </c>
      <c r="BN38">
        <v>14</v>
      </c>
      <c r="BO38">
        <v>15</v>
      </c>
      <c r="BP38">
        <v>11</v>
      </c>
      <c r="BQ38">
        <v>15</v>
      </c>
    </row>
    <row r="39" spans="1:69" x14ac:dyDescent="0.3">
      <c r="W39" s="1" t="s">
        <v>72</v>
      </c>
      <c r="X39">
        <v>150</v>
      </c>
      <c r="Y39">
        <v>117</v>
      </c>
      <c r="Z39">
        <v>126</v>
      </c>
      <c r="AA39">
        <v>131</v>
      </c>
      <c r="AB39">
        <v>178</v>
      </c>
      <c r="AC39">
        <v>118</v>
      </c>
      <c r="AD39">
        <v>224</v>
      </c>
      <c r="AE39">
        <v>224</v>
      </c>
      <c r="AF39">
        <v>216</v>
      </c>
      <c r="AG39">
        <v>173</v>
      </c>
      <c r="AH39">
        <v>130</v>
      </c>
      <c r="AI39">
        <v>85</v>
      </c>
      <c r="AJ39">
        <v>177</v>
      </c>
      <c r="AK39">
        <v>157</v>
      </c>
      <c r="BA39" s="1" t="s">
        <v>72</v>
      </c>
      <c r="BB39">
        <v>127</v>
      </c>
      <c r="BC39">
        <v>85</v>
      </c>
      <c r="BD39">
        <v>88</v>
      </c>
      <c r="BE39">
        <v>93</v>
      </c>
      <c r="BF39">
        <v>134</v>
      </c>
      <c r="BG39">
        <v>111</v>
      </c>
      <c r="BH39" s="27">
        <v>114</v>
      </c>
      <c r="BI39" s="1">
        <v>81</v>
      </c>
      <c r="BJ39">
        <v>161</v>
      </c>
      <c r="BK39">
        <v>104</v>
      </c>
      <c r="BL39">
        <v>88</v>
      </c>
      <c r="BM39">
        <v>142</v>
      </c>
      <c r="BN39">
        <v>177</v>
      </c>
      <c r="BO39">
        <v>180</v>
      </c>
      <c r="BP39">
        <v>142</v>
      </c>
      <c r="BQ39">
        <v>188</v>
      </c>
    </row>
    <row r="40" spans="1:69" ht="45.6" x14ac:dyDescent="0.5">
      <c r="A40" s="57" t="s">
        <v>175</v>
      </c>
      <c r="L40" s="1" t="s">
        <v>183</v>
      </c>
      <c r="M40" s="1" t="s">
        <v>184</v>
      </c>
      <c r="N40" s="1"/>
      <c r="W40" s="1" t="s">
        <v>180</v>
      </c>
      <c r="X40" s="1" t="s">
        <v>67</v>
      </c>
      <c r="Y40" s="1" t="s">
        <v>73</v>
      </c>
      <c r="Z40" s="1" t="s">
        <v>68</v>
      </c>
      <c r="AA40" s="1" t="s">
        <v>63</v>
      </c>
      <c r="AB40" s="1" t="s">
        <v>71</v>
      </c>
      <c r="AC40" s="1" t="s">
        <v>181</v>
      </c>
      <c r="AD40" s="1" t="s">
        <v>73</v>
      </c>
      <c r="AE40" s="64" t="s">
        <v>182</v>
      </c>
      <c r="AF40" s="1" t="s">
        <v>181</v>
      </c>
      <c r="AG40" s="1" t="s">
        <v>181</v>
      </c>
      <c r="AH40" s="1" t="s">
        <v>69</v>
      </c>
      <c r="AI40" s="1" t="s">
        <v>73</v>
      </c>
      <c r="AJ40" s="1" t="s">
        <v>181</v>
      </c>
      <c r="AK40" s="1" t="s">
        <v>73</v>
      </c>
      <c r="AL40" s="1" t="s">
        <v>73</v>
      </c>
      <c r="AO40" s="1"/>
      <c r="BA40" s="1" t="s">
        <v>180</v>
      </c>
      <c r="BB40" s="1" t="s">
        <v>54</v>
      </c>
      <c r="BC40" s="65" t="s">
        <v>214</v>
      </c>
      <c r="BD40" s="65" t="s">
        <v>214</v>
      </c>
      <c r="BE40" s="65" t="s">
        <v>214</v>
      </c>
      <c r="BF40" s="1" t="s">
        <v>51</v>
      </c>
      <c r="BG40" s="1" t="s">
        <v>53</v>
      </c>
      <c r="BH40" s="1" t="s">
        <v>61</v>
      </c>
      <c r="BI40" s="65" t="s">
        <v>214</v>
      </c>
      <c r="BJ40" s="1" t="s">
        <v>55</v>
      </c>
      <c r="BK40" s="65" t="s">
        <v>214</v>
      </c>
      <c r="BL40" s="65" t="s">
        <v>214</v>
      </c>
      <c r="BM40" s="1"/>
      <c r="BN40" s="1"/>
      <c r="BO40" s="1"/>
      <c r="BP40" s="1"/>
      <c r="BQ40" s="1"/>
    </row>
    <row r="41" spans="1:69" x14ac:dyDescent="0.3">
      <c r="A41" t="s">
        <v>42</v>
      </c>
      <c r="B41" s="7">
        <v>44959</v>
      </c>
      <c r="L41">
        <f>MEDIAN(X41:AL41)</f>
        <v>16</v>
      </c>
      <c r="M41">
        <f>AVERAGE(X41:AL41)</f>
        <v>13.6</v>
      </c>
      <c r="W41" s="1" t="s">
        <v>185</v>
      </c>
      <c r="X41">
        <f>X39-BF39</f>
        <v>16</v>
      </c>
      <c r="Y41" t="s">
        <v>73</v>
      </c>
      <c r="Z41">
        <f>Z39-BG39</f>
        <v>15</v>
      </c>
      <c r="AA41">
        <f>AA39-BB39</f>
        <v>4</v>
      </c>
      <c r="AB41">
        <f>AB39-BJ39</f>
        <v>17</v>
      </c>
      <c r="AC41" t="s">
        <v>73</v>
      </c>
      <c r="AD41" t="s">
        <v>73</v>
      </c>
      <c r="AF41" t="s">
        <v>73</v>
      </c>
      <c r="AG41" t="s">
        <v>73</v>
      </c>
      <c r="AH41">
        <f>AH39-BH39</f>
        <v>16</v>
      </c>
      <c r="AI41" t="s">
        <v>73</v>
      </c>
      <c r="AJ41" t="s">
        <v>73</v>
      </c>
      <c r="AK41" t="s">
        <v>73</v>
      </c>
      <c r="AL41" t="s">
        <v>73</v>
      </c>
      <c r="BA41" s="1" t="s">
        <v>185</v>
      </c>
    </row>
    <row r="42" spans="1:69" ht="15" thickBot="1" x14ac:dyDescent="0.35">
      <c r="M42" s="38" t="s">
        <v>218</v>
      </c>
      <c r="N42" s="38"/>
      <c r="W42" s="1" t="s">
        <v>186</v>
      </c>
      <c r="X42" s="7">
        <v>44949</v>
      </c>
      <c r="Y42" t="s">
        <v>73</v>
      </c>
      <c r="Z42" s="7">
        <v>44949</v>
      </c>
      <c r="AA42" s="7">
        <v>44949</v>
      </c>
      <c r="AB42" s="7">
        <v>44949</v>
      </c>
      <c r="AC42" t="s">
        <v>73</v>
      </c>
      <c r="AD42" t="s">
        <v>73</v>
      </c>
      <c r="AF42" t="s">
        <v>73</v>
      </c>
      <c r="AG42" t="s">
        <v>73</v>
      </c>
      <c r="AH42" s="7">
        <v>44949</v>
      </c>
      <c r="AI42" t="s">
        <v>73</v>
      </c>
      <c r="AJ42" t="s">
        <v>73</v>
      </c>
      <c r="AK42" t="s">
        <v>73</v>
      </c>
      <c r="AL42" t="s">
        <v>73</v>
      </c>
      <c r="BA42" s="1" t="s">
        <v>186</v>
      </c>
      <c r="BB42" s="7">
        <v>44949</v>
      </c>
      <c r="BF42" s="7">
        <v>44949</v>
      </c>
      <c r="BG42" s="7">
        <v>44949</v>
      </c>
      <c r="BH42" s="7">
        <v>44949</v>
      </c>
      <c r="BJ42" s="7">
        <v>44949</v>
      </c>
    </row>
    <row r="43" spans="1:69" x14ac:dyDescent="0.3">
      <c r="A43" s="45" t="s">
        <v>37</v>
      </c>
      <c r="B43" s="46" t="s">
        <v>7</v>
      </c>
      <c r="C43" s="46" t="s">
        <v>0</v>
      </c>
      <c r="D43" s="47" t="s">
        <v>43</v>
      </c>
      <c r="M43" t="s">
        <v>219</v>
      </c>
    </row>
    <row r="44" spans="1:69" x14ac:dyDescent="0.3">
      <c r="A44" s="48"/>
      <c r="B44" s="10"/>
      <c r="C44" s="10"/>
      <c r="D44" s="53"/>
      <c r="M44" t="s">
        <v>215</v>
      </c>
    </row>
    <row r="45" spans="1:69" x14ac:dyDescent="0.3">
      <c r="A45" s="49" t="s">
        <v>74</v>
      </c>
      <c r="B45" s="25"/>
      <c r="C45" s="25"/>
      <c r="D45" s="67"/>
      <c r="M45" s="28" t="s">
        <v>178</v>
      </c>
      <c r="N45" s="28"/>
      <c r="W45" s="49" t="s">
        <v>74</v>
      </c>
      <c r="BA45" s="49" t="s">
        <v>74</v>
      </c>
    </row>
    <row r="46" spans="1:69" x14ac:dyDescent="0.3">
      <c r="A46" s="50" t="s">
        <v>38</v>
      </c>
      <c r="B46" s="10"/>
      <c r="C46" s="10"/>
      <c r="D46" s="53"/>
      <c r="W46" s="50" t="s">
        <v>38</v>
      </c>
      <c r="BA46" s="50" t="s">
        <v>38</v>
      </c>
    </row>
    <row r="47" spans="1:69" x14ac:dyDescent="0.3">
      <c r="A47" s="48" t="s">
        <v>39</v>
      </c>
      <c r="B47" s="10" t="str">
        <f>O47</f>
        <v>1.46,  (1.26 , 1.89); N= 5/10</v>
      </c>
      <c r="C47" s="10" t="str">
        <f>S47</f>
        <v>3.2,  (2.28 , 3.25); N=5/9</v>
      </c>
      <c r="D47" s="53" t="str">
        <f>I47</f>
        <v>p=0.07</v>
      </c>
      <c r="I47" t="s">
        <v>233</v>
      </c>
      <c r="J47">
        <f>_xlfn.T.TEST(X47:AW47,BB47:BZ47,2,2)</f>
        <v>6.6440967371673501E-2</v>
      </c>
      <c r="L47" t="s">
        <v>171</v>
      </c>
      <c r="M47" s="68" t="s">
        <v>227</v>
      </c>
      <c r="N47" s="68" t="s">
        <v>228</v>
      </c>
      <c r="O47" t="str">
        <f t="shared" ref="O47:O51" si="5">CONCATENATE(TRUNC(P47,2), ",  (", TRUNC(Q47,2), " , ", TRUNC(R47,2), "); ", M47)</f>
        <v>1.46,  (1.26 , 1.89); N= 5/10</v>
      </c>
      <c r="P47">
        <f>MEDIAN(X47:AW47)</f>
        <v>1.4686184359230401</v>
      </c>
      <c r="Q47">
        <f>_xlfn.PERCENTILE.INC(X47:AW47, 0.25)</f>
        <v>1.2682005701616701</v>
      </c>
      <c r="R47">
        <f>_xlfn.PERCENTILE.INC(X47:AW47, 0.75)</f>
        <v>1.8963994785513201</v>
      </c>
      <c r="S47" t="str">
        <f>CONCATENATE(TRUNC(T47,2), ",  (", TRUNC(U47,2), " , ", TRUNC(V47,2), "); ", N47)</f>
        <v>3.2,  (2.28 , 3.25); N=5/9</v>
      </c>
      <c r="T47">
        <f>MEDIAN(BB47:BZ47)</f>
        <v>3.2054336749115202</v>
      </c>
      <c r="U47">
        <f>_xlfn.PERCENTILE.INC(BB47:BZ47, 0.25)</f>
        <v>2.2898171326099801</v>
      </c>
      <c r="V47">
        <f>_xlfn.PERCENTILE.INC(BB47:BZ47, 0.75)</f>
        <v>3.2576969564125502</v>
      </c>
      <c r="W47" s="48" t="s">
        <v>39</v>
      </c>
      <c r="X47" s="58">
        <v>2.8195488086367302</v>
      </c>
      <c r="Y47" s="59" t="s">
        <v>162</v>
      </c>
      <c r="Z47" s="58">
        <v>1.0353460761712401</v>
      </c>
      <c r="AA47" s="60">
        <v>1.2682005701616701</v>
      </c>
      <c r="AB47" s="58">
        <v>1.4686184359230401</v>
      </c>
      <c r="AC47" s="59" t="s">
        <v>162</v>
      </c>
      <c r="AD47" s="58" t="s">
        <v>162</v>
      </c>
      <c r="AE47" s="63" t="s">
        <v>162</v>
      </c>
      <c r="AF47" s="61" t="s">
        <v>162</v>
      </c>
      <c r="AG47" s="61" t="s">
        <v>162</v>
      </c>
      <c r="AH47">
        <v>1.8963994785513201</v>
      </c>
      <c r="AI47" s="58" t="s">
        <v>162</v>
      </c>
      <c r="AJ47" s="61" t="s">
        <v>162</v>
      </c>
      <c r="AK47" s="58" t="s">
        <v>162</v>
      </c>
      <c r="BA47" s="48" t="s">
        <v>39</v>
      </c>
      <c r="BB47" s="58">
        <v>2.2898171326099801</v>
      </c>
      <c r="BC47" s="66" t="s">
        <v>162</v>
      </c>
      <c r="BD47" s="66" t="s">
        <v>162</v>
      </c>
      <c r="BE47" s="66" t="s">
        <v>162</v>
      </c>
      <c r="BF47" s="58">
        <v>4.0945895135836201</v>
      </c>
      <c r="BG47" s="58">
        <v>1.4709913135435499</v>
      </c>
      <c r="BH47" s="58">
        <v>3.2054336749115202</v>
      </c>
      <c r="BI47" s="66" t="s">
        <v>162</v>
      </c>
      <c r="BJ47" s="58">
        <v>3.2576969564125502</v>
      </c>
      <c r="BK47" s="66" t="s">
        <v>162</v>
      </c>
      <c r="BL47" s="66" t="s">
        <v>162</v>
      </c>
    </row>
    <row r="48" spans="1:69" x14ac:dyDescent="0.3">
      <c r="A48" s="48" t="s">
        <v>40</v>
      </c>
      <c r="B48" s="10" t="str">
        <f>O48</f>
        <v>1.8,  (1.66 , 1.86); N= 4/10</v>
      </c>
      <c r="C48" s="10" t="str">
        <f>S48</f>
        <v>2.03,  (1.11 , 2.24); N=4/9</v>
      </c>
      <c r="D48" s="53" t="str">
        <f>I48</f>
        <v>N.S.</v>
      </c>
      <c r="I48" t="s">
        <v>173</v>
      </c>
      <c r="J48">
        <f>_xlfn.T.TEST(X48:AW48,BB48:BZ48,2,2)</f>
        <v>0.88854127350774958</v>
      </c>
      <c r="L48" t="s">
        <v>171</v>
      </c>
      <c r="M48" s="68" t="s">
        <v>222</v>
      </c>
      <c r="N48" s="68" t="s">
        <v>229</v>
      </c>
      <c r="O48" t="str">
        <f t="shared" si="5"/>
        <v>1.8,  (1.66 , 1.86); N= 4/10</v>
      </c>
      <c r="P48">
        <f>MEDIAN(X48:AW48)</f>
        <v>1.8082043668973848</v>
      </c>
      <c r="Q48">
        <f>_xlfn.PERCENTILE.INC(X48:AW48, 0.25)</f>
        <v>1.6680855322082924</v>
      </c>
      <c r="R48">
        <f>_xlfn.PERCENTILE.INC(X48:AW48, 0.75)</f>
        <v>1.8683160883630749</v>
      </c>
      <c r="S48" t="str">
        <f t="shared" ref="S48:S51" si="6">CONCATENATE(TRUNC(T48,2), ",  (", TRUNC(U48,2), " , ", TRUNC(V48,2), "); ", N48)</f>
        <v>2.03,  (1.11 , 2.24); N=4/9</v>
      </c>
      <c r="T48">
        <f>MEDIAN(BB48:BZ48)</f>
        <v>2.0313435100000001</v>
      </c>
      <c r="U48">
        <f>_xlfn.PERCENTILE.INC(BB48:BZ48, 0.25)</f>
        <v>1.11700846174386</v>
      </c>
      <c r="V48">
        <f>_xlfn.PERCENTILE.INC(BB48:BZ48, 0.75)</f>
        <v>2.2407940760098302</v>
      </c>
      <c r="W48" s="48" t="s">
        <v>40</v>
      </c>
      <c r="X48" s="58">
        <v>1.92065960521003</v>
      </c>
      <c r="Y48" s="59" t="s">
        <v>162</v>
      </c>
      <c r="Z48" s="58">
        <v>1.85086824941409</v>
      </c>
      <c r="AA48" s="58">
        <v>1.37572067569113</v>
      </c>
      <c r="AB48" s="59" t="s">
        <v>162</v>
      </c>
      <c r="AC48" s="59" t="s">
        <v>162</v>
      </c>
      <c r="AD48" s="58" t="s">
        <v>162</v>
      </c>
      <c r="AE48" s="63" t="s">
        <v>162</v>
      </c>
      <c r="AF48" s="61" t="s">
        <v>162</v>
      </c>
      <c r="AG48" s="61" t="s">
        <v>162</v>
      </c>
      <c r="AH48">
        <v>1.7655404843806799</v>
      </c>
      <c r="AI48" s="58" t="s">
        <v>162</v>
      </c>
      <c r="AJ48" s="61" t="s">
        <v>162</v>
      </c>
      <c r="AK48" s="58" t="s">
        <v>162</v>
      </c>
      <c r="BA48" s="48" t="s">
        <v>40</v>
      </c>
      <c r="BB48" s="58">
        <v>1.11700846174386</v>
      </c>
      <c r="BC48" s="66" t="s">
        <v>162</v>
      </c>
      <c r="BD48" s="66" t="s">
        <v>162</v>
      </c>
      <c r="BE48" s="66" t="s">
        <v>162</v>
      </c>
      <c r="BF48" s="58">
        <v>2.2407940760098302</v>
      </c>
      <c r="BG48" s="58">
        <v>2.0313435100000001</v>
      </c>
      <c r="BH48" s="58">
        <v>2.7796820045573698</v>
      </c>
      <c r="BI48" s="66" t="s">
        <v>162</v>
      </c>
      <c r="BJ48" s="58">
        <v>0.78493182229421399</v>
      </c>
      <c r="BK48" s="66" t="s">
        <v>162</v>
      </c>
      <c r="BL48" s="66" t="s">
        <v>162</v>
      </c>
    </row>
    <row r="49" spans="1:64" x14ac:dyDescent="0.3">
      <c r="A49" s="50" t="s">
        <v>41</v>
      </c>
      <c r="B49" s="10"/>
      <c r="C49" s="10"/>
      <c r="D49" s="53"/>
      <c r="W49" s="50" t="s">
        <v>41</v>
      </c>
      <c r="AE49" s="63" t="s">
        <v>162</v>
      </c>
      <c r="BA49" s="50" t="s">
        <v>41</v>
      </c>
    </row>
    <row r="50" spans="1:64" x14ac:dyDescent="0.3">
      <c r="A50" s="48" t="s">
        <v>39</v>
      </c>
      <c r="B50" s="10" t="str">
        <f t="shared" ref="B50:B51" si="7">O50</f>
        <v>9.27,  (9.27 , 9.27); N= 1/7</v>
      </c>
      <c r="C50" s="10" t="str">
        <f t="shared" ref="C50:C51" si="8">S50</f>
        <v>0.89,  (0.89 , 0.89); N=1/3</v>
      </c>
      <c r="D50" s="53" t="str">
        <f t="shared" ref="D50:D51" si="9">I50</f>
        <v>Pending</v>
      </c>
      <c r="I50" t="s">
        <v>172</v>
      </c>
      <c r="J50" t="e">
        <f>_xlfn.T.TEST(X50:AW50,BB50:BZ50,2,2)</f>
        <v>#DIV/0!</v>
      </c>
      <c r="L50" t="s">
        <v>171</v>
      </c>
      <c r="M50" s="68" t="s">
        <v>232</v>
      </c>
      <c r="N50" s="68" t="s">
        <v>230</v>
      </c>
      <c r="O50" t="str">
        <f t="shared" si="5"/>
        <v>9.27,  (9.27 , 9.27); N= 1/7</v>
      </c>
      <c r="P50">
        <f>MEDIAN(X50:AW50)</f>
        <v>9.2743941970288297</v>
      </c>
      <c r="Q50">
        <f>_xlfn.PERCENTILE.INC(X50:AW50, 0.25)</f>
        <v>9.2743941970288297</v>
      </c>
      <c r="R50">
        <f>_xlfn.PERCENTILE.INC(X50:AW50, 0.75)</f>
        <v>9.2743941970288297</v>
      </c>
      <c r="S50" t="str">
        <f t="shared" si="6"/>
        <v>0.89,  (0.89 , 0.89); N=1/3</v>
      </c>
      <c r="T50">
        <f>MEDIAN(BB50:BZ50)</f>
        <v>0.89316309394488103</v>
      </c>
      <c r="U50">
        <f>_xlfn.PERCENTILE.INC(BB50:BZ50, 0.25)</f>
        <v>0.89316309394488103</v>
      </c>
      <c r="V50">
        <f>_xlfn.PERCENTILE.INC(BB50:BZ50, 0.75)</f>
        <v>0.89316309394488103</v>
      </c>
      <c r="W50" s="48" t="s">
        <v>39</v>
      </c>
      <c r="X50" t="s">
        <v>162</v>
      </c>
      <c r="Y50" t="s">
        <v>162</v>
      </c>
      <c r="Z50" t="s">
        <v>162</v>
      </c>
      <c r="AA50" t="s">
        <v>162</v>
      </c>
      <c r="AB50" s="58">
        <v>9.2743941970288297</v>
      </c>
      <c r="AC50" s="63" t="s">
        <v>162</v>
      </c>
      <c r="AD50" s="58" t="s">
        <v>162</v>
      </c>
      <c r="AE50" s="63" t="s">
        <v>162</v>
      </c>
      <c r="AF50" s="63" t="s">
        <v>162</v>
      </c>
      <c r="AG50" s="63" t="s">
        <v>162</v>
      </c>
      <c r="AH50" s="69" t="s">
        <v>162</v>
      </c>
      <c r="AI50" s="58" t="s">
        <v>162</v>
      </c>
      <c r="AJ50" s="63" t="s">
        <v>162</v>
      </c>
      <c r="AK50" s="58" t="s">
        <v>162</v>
      </c>
      <c r="BA50" s="48" t="s">
        <v>39</v>
      </c>
      <c r="BB50" t="s">
        <v>162</v>
      </c>
      <c r="BC50" t="s">
        <v>162</v>
      </c>
      <c r="BD50" t="s">
        <v>162</v>
      </c>
      <c r="BE50" t="s">
        <v>162</v>
      </c>
      <c r="BF50" t="s">
        <v>162</v>
      </c>
      <c r="BG50" t="s">
        <v>162</v>
      </c>
      <c r="BH50" t="s">
        <v>162</v>
      </c>
      <c r="BI50" t="s">
        <v>162</v>
      </c>
      <c r="BJ50" s="58">
        <v>0.89316309394488103</v>
      </c>
      <c r="BK50" s="66" t="s">
        <v>162</v>
      </c>
      <c r="BL50" s="66" t="s">
        <v>162</v>
      </c>
    </row>
    <row r="51" spans="1:64" x14ac:dyDescent="0.3">
      <c r="A51" s="48" t="s">
        <v>40</v>
      </c>
      <c r="B51" s="10" t="str">
        <f t="shared" si="7"/>
        <v>4.86,  (4.86 , 4.86); N= 1/7</v>
      </c>
      <c r="C51" s="10" t="str">
        <f t="shared" si="8"/>
        <v>0.52,  (0.52 , 0.52); N=1/3</v>
      </c>
      <c r="D51" s="53" t="str">
        <f t="shared" si="9"/>
        <v>Pending</v>
      </c>
      <c r="I51" t="s">
        <v>172</v>
      </c>
      <c r="J51" t="e">
        <f>_xlfn.T.TEST(X51:AW51,BB51:BZ51,2,2)</f>
        <v>#DIV/0!</v>
      </c>
      <c r="L51" t="s">
        <v>171</v>
      </c>
      <c r="M51" s="68" t="s">
        <v>232</v>
      </c>
      <c r="N51" s="68" t="s">
        <v>230</v>
      </c>
      <c r="O51" t="str">
        <f t="shared" si="5"/>
        <v>4.86,  (4.86 , 4.86); N= 1/7</v>
      </c>
      <c r="P51">
        <f>MEDIAN(X51:AW51)</f>
        <v>4.8630034770572301</v>
      </c>
      <c r="Q51">
        <f>_xlfn.PERCENTILE.INC(X51:AW51, 0.25)</f>
        <v>4.8630034770572301</v>
      </c>
      <c r="R51">
        <f>_xlfn.PERCENTILE.INC(X51:AW51, 0.75)</f>
        <v>4.8630034770572301</v>
      </c>
      <c r="S51" t="str">
        <f t="shared" si="6"/>
        <v>0.52,  (0.52 , 0.52); N=1/3</v>
      </c>
      <c r="T51">
        <f>MEDIAN(BB51:BZ51)</f>
        <v>0.52535944249941502</v>
      </c>
      <c r="U51">
        <f>_xlfn.PERCENTILE.INC(BB51:BZ51, 0.25)</f>
        <v>0.52535944249941502</v>
      </c>
      <c r="V51">
        <f>_xlfn.PERCENTILE.INC(BB51:BZ51, 0.75)</f>
        <v>0.52535944249941502</v>
      </c>
      <c r="W51" s="48" t="s">
        <v>40</v>
      </c>
      <c r="X51" t="s">
        <v>162</v>
      </c>
      <c r="Y51" t="s">
        <v>162</v>
      </c>
      <c r="Z51" t="s">
        <v>162</v>
      </c>
      <c r="AA51" t="s">
        <v>162</v>
      </c>
      <c r="AB51" s="58">
        <v>4.8630034770572301</v>
      </c>
      <c r="AC51" s="59" t="s">
        <v>162</v>
      </c>
      <c r="AD51" s="58" t="s">
        <v>162</v>
      </c>
      <c r="AE51" s="63" t="s">
        <v>162</v>
      </c>
      <c r="AF51" s="63" t="s">
        <v>162</v>
      </c>
      <c r="AG51" s="63" t="s">
        <v>162</v>
      </c>
      <c r="AH51" s="69" t="s">
        <v>162</v>
      </c>
      <c r="AI51" s="58" t="s">
        <v>162</v>
      </c>
      <c r="AJ51" s="63" t="s">
        <v>162</v>
      </c>
      <c r="AK51" s="58" t="s">
        <v>162</v>
      </c>
      <c r="BA51" s="48" t="s">
        <v>40</v>
      </c>
      <c r="BB51" t="s">
        <v>162</v>
      </c>
      <c r="BC51" t="s">
        <v>162</v>
      </c>
      <c r="BD51" t="s">
        <v>162</v>
      </c>
      <c r="BE51" t="s">
        <v>162</v>
      </c>
      <c r="BF51" t="s">
        <v>162</v>
      </c>
      <c r="BG51" t="s">
        <v>162</v>
      </c>
      <c r="BH51" t="s">
        <v>162</v>
      </c>
      <c r="BI51" t="s">
        <v>162</v>
      </c>
      <c r="BJ51" s="58">
        <v>0.52535944249941502</v>
      </c>
      <c r="BK51" s="66" t="s">
        <v>162</v>
      </c>
      <c r="BL51" s="66" t="s">
        <v>162</v>
      </c>
    </row>
    <row r="52" spans="1:64" ht="15" thickBot="1" x14ac:dyDescent="0.35">
      <c r="A52" s="51"/>
      <c r="B52" s="55"/>
      <c r="C52" s="55"/>
      <c r="D52" s="56"/>
      <c r="AH52" t="s">
        <v>231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31D57-F35D-4796-92F0-996067F7C8D5}">
  <dimension ref="A1:J30"/>
  <sheetViews>
    <sheetView workbookViewId="0">
      <selection activeCell="C28" sqref="C28"/>
    </sheetView>
  </sheetViews>
  <sheetFormatPr defaultRowHeight="14.4" x14ac:dyDescent="0.3"/>
  <cols>
    <col min="1" max="1" width="44.88671875" customWidth="1"/>
    <col min="2" max="12" width="21.6640625" customWidth="1"/>
  </cols>
  <sheetData>
    <row r="1" spans="1:10" x14ac:dyDescent="0.3">
      <c r="A1" t="s">
        <v>42</v>
      </c>
      <c r="B1" s="7">
        <v>44936</v>
      </c>
    </row>
    <row r="4" spans="1:10" x14ac:dyDescent="0.3">
      <c r="B4" s="195" t="s">
        <v>38</v>
      </c>
      <c r="C4" s="195"/>
      <c r="D4" s="195"/>
      <c r="E4" s="195"/>
      <c r="F4" s="195" t="s">
        <v>41</v>
      </c>
      <c r="G4" s="195"/>
      <c r="H4" s="195"/>
      <c r="I4" s="195"/>
    </row>
    <row r="5" spans="1:10" x14ac:dyDescent="0.3">
      <c r="A5" s="5"/>
      <c r="B5" s="196" t="s">
        <v>7</v>
      </c>
      <c r="C5" s="196"/>
      <c r="D5" s="196" t="s">
        <v>0</v>
      </c>
      <c r="E5" s="196"/>
      <c r="F5" s="196" t="s">
        <v>7</v>
      </c>
      <c r="G5" s="196"/>
      <c r="H5" s="196" t="s">
        <v>0</v>
      </c>
      <c r="I5" s="196"/>
      <c r="J5" s="1" t="s">
        <v>8</v>
      </c>
    </row>
    <row r="6" spans="1:10" x14ac:dyDescent="0.3">
      <c r="A6" s="5"/>
      <c r="B6" s="8" t="s">
        <v>77</v>
      </c>
      <c r="C6" s="8" t="s">
        <v>78</v>
      </c>
      <c r="D6" s="8" t="s">
        <v>77</v>
      </c>
      <c r="E6" s="8" t="s">
        <v>78</v>
      </c>
      <c r="F6" s="8" t="s">
        <v>77</v>
      </c>
      <c r="G6" s="8" t="s">
        <v>78</v>
      </c>
      <c r="H6" s="8" t="s">
        <v>77</v>
      </c>
      <c r="I6" s="8" t="s">
        <v>78</v>
      </c>
      <c r="J6" s="1"/>
    </row>
    <row r="7" spans="1:10" s="24" customFormat="1" x14ac:dyDescent="0.3">
      <c r="A7" s="25" t="s">
        <v>79</v>
      </c>
      <c r="B7" s="23"/>
      <c r="C7" s="23"/>
      <c r="D7" s="23"/>
      <c r="E7" s="23"/>
      <c r="F7" s="23"/>
      <c r="G7" s="23"/>
      <c r="H7" s="23"/>
      <c r="I7" s="23"/>
    </row>
    <row r="8" spans="1:10" x14ac:dyDescent="0.3">
      <c r="A8" s="4" t="s">
        <v>80</v>
      </c>
      <c r="B8" s="4" t="s">
        <v>91</v>
      </c>
      <c r="C8" s="4"/>
      <c r="D8" s="4" t="s">
        <v>73</v>
      </c>
      <c r="E8" s="4" t="s">
        <v>73</v>
      </c>
      <c r="F8" s="4" t="s">
        <v>91</v>
      </c>
      <c r="G8" s="4"/>
      <c r="H8" s="4" t="s">
        <v>73</v>
      </c>
      <c r="I8" s="4" t="s">
        <v>73</v>
      </c>
      <c r="J8" s="27" t="s">
        <v>90</v>
      </c>
    </row>
    <row r="9" spans="1:10" x14ac:dyDescent="0.3">
      <c r="A9" s="4" t="s">
        <v>81</v>
      </c>
      <c r="B9" s="4"/>
      <c r="C9" s="4"/>
      <c r="D9" s="4" t="s">
        <v>73</v>
      </c>
      <c r="E9" s="4" t="s">
        <v>73</v>
      </c>
      <c r="F9" s="4"/>
      <c r="G9" s="4"/>
      <c r="H9" s="4" t="s">
        <v>73</v>
      </c>
      <c r="I9" s="4" t="s">
        <v>73</v>
      </c>
      <c r="J9" s="27" t="s">
        <v>82</v>
      </c>
    </row>
    <row r="10" spans="1:10" x14ac:dyDescent="0.3">
      <c r="A10" s="4"/>
      <c r="B10" s="4"/>
      <c r="C10" s="4"/>
      <c r="D10" s="4"/>
      <c r="E10" s="4"/>
      <c r="F10" s="4"/>
      <c r="G10" s="4"/>
      <c r="H10" s="4"/>
      <c r="I10" s="4"/>
    </row>
    <row r="11" spans="1:10" x14ac:dyDescent="0.3">
      <c r="A11" s="25" t="s">
        <v>89</v>
      </c>
      <c r="B11" s="4"/>
      <c r="C11" s="4"/>
      <c r="D11" s="4"/>
      <c r="E11" s="4"/>
      <c r="F11" s="4"/>
      <c r="G11" s="4"/>
      <c r="H11" s="4"/>
      <c r="I11" s="4"/>
    </row>
    <row r="12" spans="1:10" x14ac:dyDescent="0.3">
      <c r="A12" s="4" t="s">
        <v>83</v>
      </c>
      <c r="B12" s="4"/>
      <c r="C12" s="4"/>
      <c r="D12" s="4"/>
      <c r="E12" s="4"/>
      <c r="F12" s="4"/>
      <c r="G12" s="4"/>
      <c r="H12" s="4"/>
      <c r="I12" s="4"/>
    </row>
    <row r="13" spans="1:10" x14ac:dyDescent="0.3">
      <c r="A13" s="4" t="s">
        <v>84</v>
      </c>
      <c r="B13" s="4"/>
      <c r="C13" s="4"/>
      <c r="D13" s="4"/>
      <c r="E13" s="4"/>
      <c r="F13" s="4"/>
      <c r="G13" s="4"/>
      <c r="H13" s="4"/>
      <c r="I13" s="4"/>
    </row>
    <row r="14" spans="1:10" x14ac:dyDescent="0.3">
      <c r="A14" s="4" t="s">
        <v>85</v>
      </c>
      <c r="B14" s="4"/>
      <c r="C14" s="4"/>
      <c r="D14" s="4"/>
      <c r="E14" s="4"/>
      <c r="F14" s="4"/>
      <c r="G14" s="4"/>
      <c r="H14" s="4"/>
      <c r="I14" s="4"/>
    </row>
    <row r="15" spans="1:10" x14ac:dyDescent="0.3">
      <c r="A15" s="4" t="s">
        <v>86</v>
      </c>
      <c r="B15" s="4"/>
      <c r="C15" s="4"/>
      <c r="D15" s="4"/>
      <c r="E15" s="4"/>
      <c r="F15" s="4"/>
      <c r="G15" s="4"/>
      <c r="H15" s="4"/>
      <c r="I15" s="4"/>
    </row>
    <row r="16" spans="1:10" x14ac:dyDescent="0.3">
      <c r="A16" s="4" t="s">
        <v>87</v>
      </c>
      <c r="B16" s="4"/>
      <c r="C16" s="4"/>
      <c r="D16" s="4"/>
      <c r="E16" s="4"/>
      <c r="F16" s="4"/>
      <c r="G16" s="4"/>
      <c r="H16" s="4"/>
      <c r="I16" s="4"/>
    </row>
    <row r="17" spans="1:9" x14ac:dyDescent="0.3">
      <c r="A17" s="4" t="s">
        <v>88</v>
      </c>
      <c r="B17" s="4"/>
      <c r="C17" s="4"/>
      <c r="D17" s="4"/>
      <c r="E17" s="4"/>
      <c r="F17" s="4"/>
      <c r="G17" s="4"/>
      <c r="H17" s="4"/>
      <c r="I17" s="4"/>
    </row>
    <row r="18" spans="1:9" x14ac:dyDescent="0.3">
      <c r="A18" s="4"/>
      <c r="B18" s="4"/>
      <c r="C18" s="4"/>
      <c r="D18" s="4"/>
      <c r="E18" s="4"/>
      <c r="F18" s="4"/>
      <c r="G18" s="4"/>
      <c r="H18" s="4"/>
      <c r="I18" s="4"/>
    </row>
    <row r="19" spans="1:9" x14ac:dyDescent="0.3">
      <c r="A19" s="25" t="s">
        <v>75</v>
      </c>
      <c r="B19" s="26" t="s">
        <v>76</v>
      </c>
      <c r="C19" s="4"/>
      <c r="D19" s="4"/>
      <c r="E19" s="4"/>
      <c r="F19" s="4"/>
      <c r="G19" s="4"/>
      <c r="H19" s="4"/>
      <c r="I19" s="4"/>
    </row>
    <row r="20" spans="1:9" x14ac:dyDescent="0.3">
      <c r="A20" s="25" t="s">
        <v>79</v>
      </c>
      <c r="B20" s="4"/>
      <c r="C20" s="4"/>
      <c r="D20" s="4"/>
      <c r="E20" s="4"/>
      <c r="F20" s="4"/>
      <c r="G20" s="4"/>
      <c r="H20" s="4"/>
      <c r="I20" s="4"/>
    </row>
    <row r="21" spans="1:9" x14ac:dyDescent="0.3">
      <c r="A21" s="4" t="s">
        <v>80</v>
      </c>
      <c r="B21" s="4"/>
      <c r="C21" s="4"/>
      <c r="D21" s="4" t="s">
        <v>73</v>
      </c>
      <c r="E21" s="4" t="s">
        <v>73</v>
      </c>
      <c r="F21" s="4"/>
      <c r="G21" s="4"/>
      <c r="H21" s="4" t="s">
        <v>73</v>
      </c>
      <c r="I21" s="4" t="s">
        <v>73</v>
      </c>
    </row>
    <row r="22" spans="1:9" x14ac:dyDescent="0.3">
      <c r="A22" s="4" t="s">
        <v>81</v>
      </c>
      <c r="B22" s="4"/>
      <c r="C22" s="4"/>
      <c r="D22" s="4" t="s">
        <v>73</v>
      </c>
      <c r="E22" s="4" t="s">
        <v>73</v>
      </c>
      <c r="F22" s="4"/>
      <c r="G22" s="4"/>
      <c r="H22" s="4" t="s">
        <v>73</v>
      </c>
      <c r="I22" s="4" t="s">
        <v>73</v>
      </c>
    </row>
    <row r="23" spans="1:9" x14ac:dyDescent="0.3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3">
      <c r="A24" s="25" t="s">
        <v>89</v>
      </c>
      <c r="B24" s="4"/>
      <c r="C24" s="4"/>
      <c r="D24" s="4"/>
      <c r="E24" s="4"/>
      <c r="F24" s="4"/>
      <c r="G24" s="4"/>
      <c r="H24" s="4"/>
      <c r="I24" s="4"/>
    </row>
    <row r="25" spans="1:9" x14ac:dyDescent="0.3">
      <c r="A25" s="4" t="s">
        <v>83</v>
      </c>
      <c r="B25" s="4"/>
      <c r="C25" s="4"/>
      <c r="D25" s="4"/>
      <c r="E25" s="4"/>
      <c r="F25" s="4"/>
      <c r="G25" s="4"/>
      <c r="H25" s="4"/>
      <c r="I25" s="4"/>
    </row>
    <row r="26" spans="1:9" x14ac:dyDescent="0.3">
      <c r="A26" s="4" t="s">
        <v>84</v>
      </c>
      <c r="B26" s="4"/>
      <c r="C26" s="4"/>
      <c r="D26" s="4"/>
      <c r="E26" s="4"/>
      <c r="F26" s="4"/>
      <c r="G26" s="4"/>
      <c r="H26" s="4"/>
      <c r="I26" s="4"/>
    </row>
    <row r="27" spans="1:9" x14ac:dyDescent="0.3">
      <c r="A27" s="4" t="s">
        <v>85</v>
      </c>
      <c r="B27" s="4"/>
      <c r="C27" s="4"/>
      <c r="D27" s="4"/>
      <c r="E27" s="4"/>
      <c r="F27" s="4"/>
      <c r="G27" s="4"/>
      <c r="H27" s="4"/>
      <c r="I27" s="4"/>
    </row>
    <row r="28" spans="1:9" x14ac:dyDescent="0.3">
      <c r="A28" s="4" t="s">
        <v>86</v>
      </c>
      <c r="B28" s="4"/>
      <c r="C28" s="4"/>
      <c r="D28" s="4"/>
      <c r="E28" s="4"/>
      <c r="F28" s="4"/>
      <c r="G28" s="4"/>
      <c r="H28" s="4"/>
      <c r="I28" s="4"/>
    </row>
    <row r="29" spans="1:9" x14ac:dyDescent="0.3">
      <c r="A29" s="4" t="s">
        <v>87</v>
      </c>
      <c r="B29" s="4"/>
      <c r="C29" s="4"/>
      <c r="D29" s="4"/>
      <c r="E29" s="4"/>
      <c r="F29" s="4"/>
      <c r="G29" s="4"/>
      <c r="H29" s="4"/>
      <c r="I29" s="4"/>
    </row>
    <row r="30" spans="1:9" x14ac:dyDescent="0.3">
      <c r="A30" s="4" t="s">
        <v>88</v>
      </c>
      <c r="B30" s="4"/>
      <c r="C30" s="4"/>
      <c r="D30" s="4"/>
      <c r="E30" s="4"/>
      <c r="F30" s="4"/>
      <c r="G30" s="4"/>
      <c r="H30" s="4"/>
      <c r="I30" s="4"/>
    </row>
  </sheetData>
  <mergeCells count="6">
    <mergeCell ref="B4:E4"/>
    <mergeCell ref="B5:C5"/>
    <mergeCell ref="D5:E5"/>
    <mergeCell ref="F4:I4"/>
    <mergeCell ref="F5:G5"/>
    <mergeCell ref="H5:I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C00B-F530-4AE8-AB36-F05C063E7047}">
  <dimension ref="A1:I25"/>
  <sheetViews>
    <sheetView workbookViewId="0">
      <selection activeCell="B1" sqref="A1:B1"/>
    </sheetView>
  </sheetViews>
  <sheetFormatPr defaultRowHeight="14.4" x14ac:dyDescent="0.3"/>
  <cols>
    <col min="1" max="1" width="41.6640625" customWidth="1"/>
    <col min="2" max="2" width="28.109375" customWidth="1"/>
    <col min="3" max="3" width="28" customWidth="1"/>
    <col min="4" max="4" width="22.5546875" customWidth="1"/>
    <col min="5" max="5" width="22.44140625" customWidth="1"/>
    <col min="6" max="6" width="23.109375" customWidth="1"/>
    <col min="7" max="7" width="18.88671875" customWidth="1"/>
    <col min="9" max="9" width="35.5546875" customWidth="1"/>
  </cols>
  <sheetData>
    <row r="1" spans="1:9" x14ac:dyDescent="0.3">
      <c r="A1" t="s">
        <v>42</v>
      </c>
      <c r="B1" s="7">
        <v>44936</v>
      </c>
    </row>
    <row r="4" spans="1:9" ht="54" customHeight="1" x14ac:dyDescent="0.3"/>
    <row r="5" spans="1:9" x14ac:dyDescent="0.3">
      <c r="A5" s="5"/>
      <c r="B5" s="3" t="s">
        <v>7</v>
      </c>
      <c r="C5" s="3" t="s">
        <v>0</v>
      </c>
      <c r="D5" s="5" t="s">
        <v>19</v>
      </c>
      <c r="H5" s="1"/>
      <c r="I5" s="1" t="s">
        <v>8</v>
      </c>
    </row>
    <row r="6" spans="1:9" x14ac:dyDescent="0.3">
      <c r="A6" s="2" t="s">
        <v>20</v>
      </c>
      <c r="B6" s="4"/>
      <c r="C6" s="4"/>
      <c r="D6" s="4"/>
    </row>
    <row r="7" spans="1:9" x14ac:dyDescent="0.3">
      <c r="A7" s="4" t="s">
        <v>21</v>
      </c>
      <c r="B7" s="4" t="s">
        <v>22</v>
      </c>
      <c r="C7" s="4"/>
      <c r="D7" s="4"/>
    </row>
    <row r="8" spans="1:9" x14ac:dyDescent="0.3">
      <c r="A8" s="4" t="s">
        <v>23</v>
      </c>
      <c r="B8" s="4"/>
      <c r="C8" s="4"/>
      <c r="D8" s="4"/>
    </row>
    <row r="9" spans="1:9" x14ac:dyDescent="0.3">
      <c r="A9" s="4"/>
      <c r="B9" s="4"/>
      <c r="C9" s="4"/>
      <c r="D9" s="4"/>
    </row>
    <row r="10" spans="1:9" x14ac:dyDescent="0.3">
      <c r="A10" s="4"/>
      <c r="B10" s="4"/>
      <c r="C10" s="4"/>
      <c r="D10" s="4"/>
    </row>
    <row r="11" spans="1:9" x14ac:dyDescent="0.3">
      <c r="A11" s="2" t="s">
        <v>24</v>
      </c>
      <c r="B11" s="4"/>
      <c r="C11" s="4"/>
      <c r="D11" s="4"/>
    </row>
    <row r="12" spans="1:9" x14ac:dyDescent="0.3">
      <c r="A12" s="4" t="s">
        <v>25</v>
      </c>
      <c r="B12" s="4" t="s">
        <v>26</v>
      </c>
      <c r="C12" s="4"/>
      <c r="D12" s="4"/>
    </row>
    <row r="13" spans="1:9" x14ac:dyDescent="0.3">
      <c r="A13" s="4" t="s">
        <v>27</v>
      </c>
      <c r="B13" s="4" t="s">
        <v>26</v>
      </c>
      <c r="C13" s="4"/>
      <c r="D13" s="4"/>
    </row>
    <row r="14" spans="1:9" x14ac:dyDescent="0.3">
      <c r="A14" s="4" t="s">
        <v>28</v>
      </c>
      <c r="B14" s="4" t="s">
        <v>26</v>
      </c>
      <c r="C14" s="4"/>
      <c r="D14" s="4"/>
    </row>
    <row r="15" spans="1:9" x14ac:dyDescent="0.3">
      <c r="A15" s="4"/>
      <c r="B15" s="4"/>
      <c r="C15" s="4"/>
      <c r="D15" s="4"/>
    </row>
    <row r="16" spans="1:9" x14ac:dyDescent="0.3">
      <c r="A16" s="2" t="s">
        <v>29</v>
      </c>
      <c r="B16" s="4"/>
      <c r="C16" s="4"/>
      <c r="D16" s="4"/>
    </row>
    <row r="17" spans="1:4" x14ac:dyDescent="0.3">
      <c r="A17" s="4" t="s">
        <v>30</v>
      </c>
      <c r="B17" s="4" t="s">
        <v>26</v>
      </c>
      <c r="C17" s="4"/>
      <c r="D17" s="4"/>
    </row>
    <row r="18" spans="1:4" ht="14.25" customHeight="1" x14ac:dyDescent="0.3">
      <c r="A18" s="4" t="s">
        <v>31</v>
      </c>
      <c r="B18" s="4" t="s">
        <v>26</v>
      </c>
      <c r="C18" s="4"/>
      <c r="D18" s="4"/>
    </row>
    <row r="19" spans="1:4" ht="14.25" customHeight="1" x14ac:dyDescent="0.3">
      <c r="A19" s="4" t="s">
        <v>32</v>
      </c>
      <c r="B19" s="4" t="s">
        <v>26</v>
      </c>
      <c r="C19" s="4"/>
      <c r="D19" s="4"/>
    </row>
    <row r="20" spans="1:4" x14ac:dyDescent="0.3">
      <c r="A20" s="4"/>
      <c r="B20" s="4"/>
      <c r="C20" s="4"/>
      <c r="D20" s="4"/>
    </row>
    <row r="21" spans="1:4" x14ac:dyDescent="0.3">
      <c r="A21" s="2" t="s">
        <v>33</v>
      </c>
      <c r="B21" s="4"/>
      <c r="C21" s="4"/>
      <c r="D21" s="4"/>
    </row>
    <row r="22" spans="1:4" x14ac:dyDescent="0.3">
      <c r="A22" s="6" t="s">
        <v>34</v>
      </c>
      <c r="B22" s="4"/>
      <c r="C22" s="4"/>
      <c r="D22" s="4"/>
    </row>
    <row r="23" spans="1:4" x14ac:dyDescent="0.3">
      <c r="A23" s="4" t="s">
        <v>35</v>
      </c>
      <c r="B23" s="4" t="s">
        <v>26</v>
      </c>
      <c r="C23" s="4"/>
      <c r="D23" s="4"/>
    </row>
    <row r="24" spans="1:4" x14ac:dyDescent="0.3">
      <c r="A24" s="4" t="s">
        <v>36</v>
      </c>
      <c r="B24" s="4" t="s">
        <v>26</v>
      </c>
      <c r="C24" s="4"/>
      <c r="D24" s="4"/>
    </row>
    <row r="25" spans="1:4" x14ac:dyDescent="0.3">
      <c r="A25" s="4"/>
      <c r="B25" s="4"/>
      <c r="C25" s="4"/>
      <c r="D2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0EA87-6945-4774-9DCC-CBACFF5F30A9}">
  <sheetPr>
    <pageSetUpPr fitToPage="1"/>
  </sheetPr>
  <dimension ref="B1:CM108"/>
  <sheetViews>
    <sheetView zoomScale="85" zoomScaleNormal="85" workbookViewId="0">
      <pane xSplit="2" ySplit="7" topLeftCell="AQ15" activePane="bottomRight" state="frozen"/>
      <selection pane="topRight" activeCell="B1" sqref="B1"/>
      <selection pane="bottomLeft" activeCell="H30" sqref="H30"/>
      <selection pane="bottomRight" activeCell="AG6" sqref="AG6:BC6"/>
    </sheetView>
  </sheetViews>
  <sheetFormatPr defaultRowHeight="14.4" x14ac:dyDescent="0.3"/>
  <cols>
    <col min="1" max="1" width="5.44140625" customWidth="1"/>
    <col min="2" max="2" width="25.5546875" customWidth="1"/>
    <col min="3" max="3" width="20.88671875" customWidth="1"/>
    <col min="4" max="4" width="22.44140625" customWidth="1"/>
    <col min="5" max="8" width="22.6640625" customWidth="1"/>
    <col min="9" max="9" width="22.44140625" customWidth="1"/>
    <col min="10" max="11" width="22.6640625" customWidth="1"/>
    <col min="12" max="12" width="12.6640625" customWidth="1"/>
    <col min="13" max="13" width="18.6640625" customWidth="1"/>
    <col min="14" max="14" width="12.6640625" customWidth="1"/>
    <col min="15" max="15" width="27.6640625" customWidth="1"/>
    <col min="16" max="17" width="12.6640625" customWidth="1"/>
    <col min="18" max="18" width="32.88671875" customWidth="1"/>
    <col min="19" max="23" width="12.6640625" customWidth="1"/>
    <col min="24" max="24" width="26" customWidth="1"/>
    <col min="25" max="27" width="12.6640625" customWidth="1"/>
    <col min="28" max="28" width="26.109375" customWidth="1"/>
    <col min="29" max="31" width="12.6640625" customWidth="1"/>
    <col min="32" max="32" width="28.33203125" customWidth="1"/>
    <col min="33" max="61" width="12.6640625" customWidth="1"/>
    <col min="62" max="62" width="23.109375" customWidth="1"/>
    <col min="63" max="90" width="12.6640625" customWidth="1"/>
  </cols>
  <sheetData>
    <row r="1" spans="2:91" x14ac:dyDescent="0.3">
      <c r="B1" t="s">
        <v>42</v>
      </c>
      <c r="L1" s="11" t="s">
        <v>47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2"/>
      <c r="Z1" s="12"/>
      <c r="AA1" s="12"/>
      <c r="AB1" s="12"/>
      <c r="AC1" s="12"/>
      <c r="AD1" s="12"/>
      <c r="AE1" s="12"/>
      <c r="AG1" s="13" t="s">
        <v>48</v>
      </c>
      <c r="AH1" s="13"/>
      <c r="AI1" s="13"/>
      <c r="AJ1" s="13"/>
    </row>
    <row r="2" spans="2:91" x14ac:dyDescent="0.3">
      <c r="B2" s="99">
        <v>45103</v>
      </c>
      <c r="C2" t="s">
        <v>502</v>
      </c>
      <c r="X2" s="123"/>
      <c r="Y2" s="124" t="s">
        <v>404</v>
      </c>
      <c r="Z2" s="123"/>
      <c r="AA2" s="123"/>
    </row>
    <row r="3" spans="2:91" ht="28.8" x14ac:dyDescent="0.3">
      <c r="X3" s="28" t="s">
        <v>158</v>
      </c>
      <c r="Y3" s="28" t="s">
        <v>147</v>
      </c>
      <c r="Z3" s="28" t="s">
        <v>156</v>
      </c>
      <c r="AA3" s="28" t="s">
        <v>157</v>
      </c>
      <c r="AG3" s="14"/>
      <c r="AH3" s="15" t="s">
        <v>49</v>
      </c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J3" s="16"/>
      <c r="BK3" s="17"/>
      <c r="BL3" s="17"/>
      <c r="BM3" s="17"/>
      <c r="BN3" s="17"/>
      <c r="BO3" s="18" t="s">
        <v>50</v>
      </c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</row>
    <row r="4" spans="2:91" x14ac:dyDescent="0.3">
      <c r="X4" t="str">
        <f>CONCATENATE(TRUNC(Y4,2), ",  (", TRUNC(Z4,2), " , ", TRUNC(AA4,2), "), ", S4)</f>
        <v xml:space="preserve">10.91,  (9.25 , 12.58), </v>
      </c>
      <c r="Y4">
        <f>MEDIAN(AG9:CC9)</f>
        <v>10.916666666666666</v>
      </c>
      <c r="Z4">
        <f>_xlfn.PERCENTILE.INC(AG9:CC9, 0.25)</f>
        <v>9.25</v>
      </c>
      <c r="AA4">
        <f>_xlfn.PERCENTILE.INC(AG9:CC9, 0.75)</f>
        <v>12.583333333333334</v>
      </c>
      <c r="BJ4" s="16"/>
    </row>
    <row r="5" spans="2:91" ht="43.2" x14ac:dyDescent="0.3">
      <c r="I5" s="1"/>
      <c r="J5" s="1"/>
      <c r="AF5" s="1" t="s">
        <v>96</v>
      </c>
      <c r="AG5" s="1" t="s">
        <v>51</v>
      </c>
      <c r="AH5" s="1" t="s">
        <v>52</v>
      </c>
      <c r="AI5" s="1" t="s">
        <v>53</v>
      </c>
      <c r="AJ5" s="1" t="s">
        <v>54</v>
      </c>
      <c r="AK5" s="1" t="s">
        <v>55</v>
      </c>
      <c r="AL5" s="1" t="s">
        <v>56</v>
      </c>
      <c r="AM5" s="1" t="s">
        <v>97</v>
      </c>
      <c r="AN5" s="29" t="s">
        <v>98</v>
      </c>
      <c r="AO5" s="29" t="s">
        <v>99</v>
      </c>
      <c r="AP5" s="29" t="s">
        <v>100</v>
      </c>
      <c r="AQ5" s="29" t="s">
        <v>101</v>
      </c>
      <c r="AR5" s="29" t="s">
        <v>102</v>
      </c>
      <c r="AS5" s="29" t="s">
        <v>103</v>
      </c>
      <c r="AT5" s="29" t="s">
        <v>104</v>
      </c>
      <c r="AU5" s="1" t="s">
        <v>105</v>
      </c>
      <c r="AV5" s="1" t="s">
        <v>106</v>
      </c>
      <c r="AW5" s="1" t="s">
        <v>266</v>
      </c>
      <c r="AX5" s="121" t="s">
        <v>394</v>
      </c>
      <c r="AY5" s="121" t="s">
        <v>395</v>
      </c>
      <c r="AZ5" s="36" t="s">
        <v>396</v>
      </c>
      <c r="BA5" s="1" t="s">
        <v>111</v>
      </c>
      <c r="BB5" s="1" t="s">
        <v>112</v>
      </c>
      <c r="BC5" s="1" t="s">
        <v>113</v>
      </c>
      <c r="BD5" s="1" t="s">
        <v>114</v>
      </c>
      <c r="BE5" s="1" t="s">
        <v>115</v>
      </c>
      <c r="BF5" s="1" t="s">
        <v>116</v>
      </c>
      <c r="BG5" s="1"/>
      <c r="BI5" s="30" t="s">
        <v>117</v>
      </c>
      <c r="BJ5" s="16"/>
      <c r="BS5" s="29" t="s">
        <v>118</v>
      </c>
      <c r="BT5" s="31" t="s">
        <v>119</v>
      </c>
      <c r="BU5" s="31" t="s">
        <v>120</v>
      </c>
      <c r="BV5" s="31" t="s">
        <v>121</v>
      </c>
      <c r="BW5" s="32" t="s">
        <v>122</v>
      </c>
      <c r="BX5" s="32" t="s">
        <v>123</v>
      </c>
      <c r="BY5" s="33" t="s">
        <v>124</v>
      </c>
      <c r="BZ5" s="33" t="s">
        <v>125</v>
      </c>
      <c r="CA5" s="31" t="s">
        <v>268</v>
      </c>
      <c r="CB5" s="92" t="s">
        <v>269</v>
      </c>
      <c r="CC5" s="31" t="s">
        <v>398</v>
      </c>
      <c r="CD5" s="33" t="s">
        <v>129</v>
      </c>
      <c r="CE5" s="33" t="s">
        <v>130</v>
      </c>
      <c r="CF5" s="33" t="s">
        <v>131</v>
      </c>
      <c r="CG5" s="33" t="s">
        <v>132</v>
      </c>
      <c r="CH5" s="33" t="s">
        <v>133</v>
      </c>
      <c r="CI5" s="33" t="s">
        <v>134</v>
      </c>
    </row>
    <row r="6" spans="2:91" ht="43.2" x14ac:dyDescent="0.3">
      <c r="P6" s="38" t="s">
        <v>163</v>
      </c>
      <c r="AF6" t="s">
        <v>135</v>
      </c>
      <c r="AG6" s="1"/>
      <c r="AH6" s="1"/>
      <c r="AI6" s="1"/>
      <c r="AJ6" s="1"/>
      <c r="AK6" s="29" t="s">
        <v>402</v>
      </c>
      <c r="AL6" s="29" t="s">
        <v>402</v>
      </c>
      <c r="AM6" s="1"/>
      <c r="AN6" s="29" t="s">
        <v>402</v>
      </c>
      <c r="AO6" s="29" t="s">
        <v>402</v>
      </c>
      <c r="AP6" s="29" t="s">
        <v>402</v>
      </c>
      <c r="AQ6" s="29"/>
      <c r="AR6" s="29"/>
      <c r="AS6" s="29"/>
      <c r="AT6" s="29"/>
      <c r="AW6" s="122" t="s">
        <v>403</v>
      </c>
      <c r="BI6">
        <v>12</v>
      </c>
      <c r="BJ6" s="16"/>
      <c r="BS6" s="29" t="s">
        <v>402</v>
      </c>
      <c r="BU6" s="29" t="s">
        <v>402</v>
      </c>
      <c r="BW6" s="29" t="s">
        <v>402</v>
      </c>
      <c r="BX6" s="29" t="s">
        <v>402</v>
      </c>
      <c r="CC6" s="29" t="s">
        <v>402</v>
      </c>
    </row>
    <row r="7" spans="2:91" s="24" customFormat="1" ht="28.8" x14ac:dyDescent="0.3">
      <c r="H7" s="28" t="s">
        <v>317</v>
      </c>
      <c r="I7" s="28" t="s">
        <v>320</v>
      </c>
      <c r="L7" s="28" t="s">
        <v>158</v>
      </c>
      <c r="M7" s="1" t="s">
        <v>240</v>
      </c>
      <c r="N7" t="s">
        <v>241</v>
      </c>
      <c r="O7" t="s">
        <v>8</v>
      </c>
      <c r="P7" s="28" t="s">
        <v>158</v>
      </c>
      <c r="Q7" t="s">
        <v>43</v>
      </c>
      <c r="R7" t="s">
        <v>164</v>
      </c>
      <c r="S7" s="15" t="s">
        <v>49</v>
      </c>
      <c r="T7" s="15"/>
      <c r="U7" s="18" t="s">
        <v>50</v>
      </c>
      <c r="V7" s="18"/>
      <c r="W7"/>
      <c r="X7" s="14"/>
      <c r="Y7" s="15" t="s">
        <v>49</v>
      </c>
      <c r="Z7" s="14"/>
      <c r="AA7" s="14"/>
      <c r="AB7" s="17"/>
      <c r="AC7" s="18" t="s">
        <v>50</v>
      </c>
      <c r="AD7" s="17"/>
      <c r="AE7" s="17"/>
      <c r="AF7" s="1" t="s">
        <v>377</v>
      </c>
      <c r="AG7" s="19" t="s">
        <v>51</v>
      </c>
      <c r="AH7" s="20" t="s">
        <v>52</v>
      </c>
      <c r="AI7" s="19" t="s">
        <v>53</v>
      </c>
      <c r="AJ7" s="19" t="s">
        <v>54</v>
      </c>
      <c r="AK7" s="35" t="s">
        <v>55</v>
      </c>
      <c r="AL7" s="35" t="s">
        <v>56</v>
      </c>
      <c r="AM7" s="20" t="s">
        <v>57</v>
      </c>
      <c r="AN7" s="35" t="s">
        <v>58</v>
      </c>
      <c r="AO7" s="20" t="s">
        <v>59</v>
      </c>
      <c r="AP7" s="35" t="s">
        <v>60</v>
      </c>
      <c r="AQ7" s="19" t="s">
        <v>61</v>
      </c>
      <c r="AR7" t="s">
        <v>143</v>
      </c>
      <c r="AS7" s="19" t="s">
        <v>62</v>
      </c>
      <c r="AT7" t="s">
        <v>143</v>
      </c>
      <c r="AU7" s="34" t="s">
        <v>105</v>
      </c>
      <c r="AV7" s="34" t="s">
        <v>106</v>
      </c>
      <c r="AW7" s="19" t="s">
        <v>266</v>
      </c>
      <c r="AX7" s="121" t="s">
        <v>394</v>
      </c>
      <c r="AY7" s="121" t="s">
        <v>395</v>
      </c>
      <c r="AZ7" s="36" t="s">
        <v>396</v>
      </c>
      <c r="BA7" s="1"/>
      <c r="BB7" s="1"/>
      <c r="BC7" s="1"/>
      <c r="BD7" s="1"/>
      <c r="BE7" s="1"/>
      <c r="BF7" s="1"/>
      <c r="BG7"/>
      <c r="BH7" s="1"/>
      <c r="BI7" s="1"/>
      <c r="BJ7" s="21"/>
      <c r="BK7" s="19" t="s">
        <v>63</v>
      </c>
      <c r="BL7" s="19" t="s">
        <v>64</v>
      </c>
      <c r="BM7" s="36" t="s">
        <v>65</v>
      </c>
      <c r="BN7" s="22" t="s">
        <v>66</v>
      </c>
      <c r="BO7" s="19" t="s">
        <v>67</v>
      </c>
      <c r="BP7" s="36" t="s">
        <v>68</v>
      </c>
      <c r="BQ7" s="19" t="s">
        <v>69</v>
      </c>
      <c r="BR7" s="19" t="s">
        <v>70</v>
      </c>
      <c r="BS7" s="19" t="s">
        <v>71</v>
      </c>
      <c r="BT7" s="31" t="s">
        <v>119</v>
      </c>
      <c r="BU7" s="31" t="s">
        <v>120</v>
      </c>
      <c r="BV7" s="31" t="s">
        <v>121</v>
      </c>
      <c r="BW7" s="32" t="s">
        <v>122</v>
      </c>
      <c r="BX7" s="32" t="s">
        <v>123</v>
      </c>
      <c r="BY7" s="31" t="s">
        <v>258</v>
      </c>
      <c r="BZ7" s="31" t="s">
        <v>267</v>
      </c>
      <c r="CA7" s="31" t="s">
        <v>268</v>
      </c>
      <c r="CB7" s="92" t="s">
        <v>269</v>
      </c>
      <c r="CC7" s="31" t="s">
        <v>398</v>
      </c>
      <c r="CD7" s="33" t="s">
        <v>129</v>
      </c>
      <c r="CE7" s="33" t="s">
        <v>130</v>
      </c>
      <c r="CF7" s="33" t="s">
        <v>131</v>
      </c>
      <c r="CG7" s="33" t="s">
        <v>132</v>
      </c>
      <c r="CH7" s="33" t="s">
        <v>133</v>
      </c>
      <c r="CI7" s="33" t="s">
        <v>134</v>
      </c>
      <c r="CJ7"/>
      <c r="CK7"/>
      <c r="CL7"/>
      <c r="CM7"/>
    </row>
    <row r="8" spans="2:91" ht="31.2" x14ac:dyDescent="0.5">
      <c r="E8" s="94"/>
      <c r="F8" s="73"/>
      <c r="G8" s="73"/>
      <c r="H8" s="73"/>
      <c r="X8" s="28" t="s">
        <v>158</v>
      </c>
      <c r="Y8" s="28" t="s">
        <v>147</v>
      </c>
      <c r="Z8" s="28" t="s">
        <v>156</v>
      </c>
      <c r="AA8" s="28" t="s">
        <v>157</v>
      </c>
      <c r="AB8" s="28" t="s">
        <v>158</v>
      </c>
      <c r="AC8" s="28" t="s">
        <v>147</v>
      </c>
      <c r="AD8" s="28" t="s">
        <v>156</v>
      </c>
      <c r="AE8" s="28" t="s">
        <v>157</v>
      </c>
      <c r="AF8" s="1" t="s">
        <v>187</v>
      </c>
      <c r="AG8" t="s">
        <v>188</v>
      </c>
      <c r="AH8" t="s">
        <v>189</v>
      </c>
      <c r="AI8" t="s">
        <v>190</v>
      </c>
      <c r="AJ8" t="s">
        <v>191</v>
      </c>
      <c r="AK8" t="s">
        <v>192</v>
      </c>
      <c r="AL8" t="s">
        <v>193</v>
      </c>
      <c r="AM8" t="s">
        <v>194</v>
      </c>
      <c r="AN8" t="s">
        <v>194</v>
      </c>
      <c r="AO8" t="s">
        <v>195</v>
      </c>
      <c r="AP8" t="s">
        <v>196</v>
      </c>
      <c r="AQ8" t="s">
        <v>197</v>
      </c>
      <c r="AR8" t="s">
        <v>198</v>
      </c>
      <c r="AS8" t="s">
        <v>199</v>
      </c>
      <c r="AT8" t="s">
        <v>200</v>
      </c>
      <c r="AW8" t="s">
        <v>378</v>
      </c>
      <c r="AZ8" t="s">
        <v>405</v>
      </c>
      <c r="BK8" t="s">
        <v>202</v>
      </c>
      <c r="BL8" t="s">
        <v>198</v>
      </c>
      <c r="BM8" t="s">
        <v>203</v>
      </c>
      <c r="BN8" t="s">
        <v>204</v>
      </c>
      <c r="BO8" t="s">
        <v>205</v>
      </c>
      <c r="BP8" t="s">
        <v>206</v>
      </c>
      <c r="BQ8" t="s">
        <v>207</v>
      </c>
      <c r="BR8" t="s">
        <v>208</v>
      </c>
      <c r="BS8" t="s">
        <v>209</v>
      </c>
      <c r="BT8" t="s">
        <v>210</v>
      </c>
      <c r="BU8" t="s">
        <v>379</v>
      </c>
      <c r="BV8" t="s">
        <v>203</v>
      </c>
      <c r="BW8" t="s">
        <v>213</v>
      </c>
      <c r="BX8" t="s">
        <v>211</v>
      </c>
      <c r="BY8" t="s">
        <v>380</v>
      </c>
      <c r="BZ8" t="s">
        <v>381</v>
      </c>
      <c r="CA8" t="s">
        <v>382</v>
      </c>
      <c r="CB8" t="s">
        <v>383</v>
      </c>
      <c r="CC8" t="s">
        <v>406</v>
      </c>
    </row>
    <row r="9" spans="2:91" ht="23.4" x14ac:dyDescent="0.45">
      <c r="B9" t="s">
        <v>316</v>
      </c>
      <c r="C9" s="7">
        <f>B2</f>
        <v>45103</v>
      </c>
      <c r="E9" s="94" t="s">
        <v>505</v>
      </c>
      <c r="X9" t="str">
        <f>CONCATENATE(TRUNC(Y9,2), ",  (", TRUNC(Z9,2), " , ", TRUNC(AA9,2), "), ", S9)</f>
        <v xml:space="preserve">11.7,  (10.58 , 14.2), </v>
      </c>
      <c r="Y9">
        <f>MEDIAN(AG9:BF9)</f>
        <v>11.708333333333332</v>
      </c>
      <c r="Z9">
        <f>_xlfn.PERCENTILE.INC(AG9:BF9, 0.25)</f>
        <v>10.583333333333334</v>
      </c>
      <c r="AA9">
        <f>_xlfn.PERCENTILE.INC(AG9:BF9, 0.75)</f>
        <v>14.208333333333334</v>
      </c>
      <c r="AB9" t="str">
        <f>CONCATENATE(TRUNC(AC9,2), ",  (", TRUNC(AD9,2), " , ", TRUNC(AE9,2), "), ", U9)</f>
        <v xml:space="preserve">10.58,  (8.2 , 12.12), </v>
      </c>
      <c r="AC9">
        <f>MEDIAN(BK9:CI9)</f>
        <v>10.583333333333334</v>
      </c>
      <c r="AD9">
        <f>_xlfn.PERCENTILE.INC(BK9:CI9, 0.25)</f>
        <v>8.2083333333333321</v>
      </c>
      <c r="AE9">
        <f>_xlfn.PERCENTILE.INC(BK9:CI9, 0.75)</f>
        <v>12.125</v>
      </c>
      <c r="AF9" s="1" t="s">
        <v>201</v>
      </c>
      <c r="AG9">
        <f>AG10/12</f>
        <v>12.5</v>
      </c>
      <c r="AH9" t="s">
        <v>162</v>
      </c>
      <c r="AI9">
        <f>AI10/12</f>
        <v>10.5</v>
      </c>
      <c r="AJ9">
        <f>AJ10/12</f>
        <v>10.916666666666666</v>
      </c>
      <c r="AK9">
        <f>AK10/12</f>
        <v>14.833333333333334</v>
      </c>
      <c r="AL9">
        <f>AL10/12</f>
        <v>9.8333333333333339</v>
      </c>
      <c r="AM9" t="s">
        <v>162</v>
      </c>
      <c r="AN9">
        <v>18</v>
      </c>
      <c r="AO9" t="s">
        <v>162</v>
      </c>
      <c r="AP9" t="s">
        <v>162</v>
      </c>
      <c r="AQ9">
        <f>AQ10/12</f>
        <v>10.833333333333334</v>
      </c>
      <c r="AR9" s="27" t="s">
        <v>162</v>
      </c>
      <c r="AS9">
        <f>AS10/12</f>
        <v>14.75</v>
      </c>
      <c r="AT9" s="27" t="s">
        <v>162</v>
      </c>
      <c r="AU9" s="27" t="s">
        <v>162</v>
      </c>
      <c r="AV9" s="27" t="s">
        <v>162</v>
      </c>
      <c r="AW9">
        <f>AW10/12</f>
        <v>12.583333333333334</v>
      </c>
      <c r="AX9" s="27" t="s">
        <v>162</v>
      </c>
      <c r="AY9" s="27" t="s">
        <v>162</v>
      </c>
      <c r="AZ9">
        <f>AZ10/12</f>
        <v>9.5833333333333339</v>
      </c>
      <c r="BK9" s="89">
        <f t="shared" ref="BK9:CC9" si="0">BK10/12</f>
        <v>10.583333333333334</v>
      </c>
      <c r="BL9" s="89">
        <f t="shared" si="0"/>
        <v>7.083333333333333</v>
      </c>
      <c r="BM9" s="89">
        <f t="shared" si="0"/>
        <v>7.333333333333333</v>
      </c>
      <c r="BN9" s="89">
        <f t="shared" si="0"/>
        <v>7.75</v>
      </c>
      <c r="BO9" s="89">
        <f t="shared" si="0"/>
        <v>11.166666666666666</v>
      </c>
      <c r="BP9" s="89">
        <f t="shared" si="0"/>
        <v>9.25</v>
      </c>
      <c r="BQ9" s="89">
        <f t="shared" si="0"/>
        <v>9.5</v>
      </c>
      <c r="BR9" s="89">
        <f t="shared" si="0"/>
        <v>6.75</v>
      </c>
      <c r="BS9" s="89">
        <f t="shared" si="0"/>
        <v>13.416666666666666</v>
      </c>
      <c r="BT9" s="89">
        <f t="shared" si="0"/>
        <v>8.6666666666666661</v>
      </c>
      <c r="BU9" s="89">
        <f t="shared" si="0"/>
        <v>11.833333333333334</v>
      </c>
      <c r="BV9" s="89">
        <f t="shared" si="0"/>
        <v>7.333333333333333</v>
      </c>
      <c r="BW9" s="89">
        <f t="shared" si="0"/>
        <v>15</v>
      </c>
      <c r="BX9" s="89">
        <f t="shared" si="0"/>
        <v>11.833333333333334</v>
      </c>
      <c r="BY9" s="89">
        <f t="shared" si="0"/>
        <v>11.916666666666666</v>
      </c>
      <c r="BZ9" s="89">
        <f t="shared" si="0"/>
        <v>15.75</v>
      </c>
      <c r="CA9" s="89">
        <f t="shared" si="0"/>
        <v>12.333333333333334</v>
      </c>
      <c r="CB9" s="89">
        <f t="shared" si="0"/>
        <v>9.0833333333333339</v>
      </c>
      <c r="CC9" s="89">
        <f t="shared" si="0"/>
        <v>18.166666666666668</v>
      </c>
    </row>
    <row r="10" spans="2:91" ht="23.4" x14ac:dyDescent="0.45">
      <c r="C10" s="7"/>
      <c r="E10" s="94"/>
      <c r="AF10" s="1" t="s">
        <v>72</v>
      </c>
      <c r="AG10">
        <v>150</v>
      </c>
      <c r="AH10" t="s">
        <v>162</v>
      </c>
      <c r="AI10">
        <v>126</v>
      </c>
      <c r="AJ10">
        <v>131</v>
      </c>
      <c r="AK10">
        <v>178</v>
      </c>
      <c r="AL10">
        <v>118</v>
      </c>
      <c r="AM10" t="s">
        <v>162</v>
      </c>
      <c r="AN10">
        <v>224</v>
      </c>
      <c r="AO10" t="s">
        <v>162</v>
      </c>
      <c r="AP10" t="s">
        <v>162</v>
      </c>
      <c r="AQ10">
        <v>130</v>
      </c>
      <c r="AR10" s="27" t="s">
        <v>162</v>
      </c>
      <c r="AS10">
        <v>177</v>
      </c>
      <c r="AT10" s="27" t="s">
        <v>162</v>
      </c>
      <c r="AU10" s="27" t="s">
        <v>162</v>
      </c>
      <c r="AV10" s="27" t="s">
        <v>162</v>
      </c>
      <c r="AW10">
        <v>151</v>
      </c>
      <c r="AX10" s="27" t="s">
        <v>162</v>
      </c>
      <c r="AY10" s="27" t="s">
        <v>162</v>
      </c>
      <c r="AZ10">
        <v>115</v>
      </c>
      <c r="BK10">
        <v>127</v>
      </c>
      <c r="BL10">
        <v>85</v>
      </c>
      <c r="BM10">
        <v>88</v>
      </c>
      <c r="BN10">
        <v>93</v>
      </c>
      <c r="BO10">
        <v>134</v>
      </c>
      <c r="BP10">
        <v>111</v>
      </c>
      <c r="BQ10" s="27">
        <v>114</v>
      </c>
      <c r="BR10" s="1">
        <v>81</v>
      </c>
      <c r="BS10">
        <v>161</v>
      </c>
      <c r="BT10">
        <v>104</v>
      </c>
      <c r="BU10">
        <v>142</v>
      </c>
      <c r="BV10">
        <v>88</v>
      </c>
      <c r="BW10">
        <v>180</v>
      </c>
      <c r="BX10">
        <v>142</v>
      </c>
      <c r="BY10">
        <v>143</v>
      </c>
      <c r="BZ10">
        <v>189</v>
      </c>
      <c r="CA10">
        <v>148</v>
      </c>
      <c r="CB10">
        <v>109</v>
      </c>
      <c r="CC10">
        <v>218</v>
      </c>
    </row>
    <row r="11" spans="2:91" x14ac:dyDescent="0.3">
      <c r="S11" s="38" t="s">
        <v>218</v>
      </c>
      <c r="T11" s="38"/>
      <c r="U11" s="38"/>
      <c r="V11" s="38"/>
      <c r="W11" s="38"/>
      <c r="X11" s="28"/>
      <c r="Y11" s="28"/>
      <c r="Z11" s="28"/>
      <c r="AA11" s="28"/>
      <c r="AB11" s="28"/>
      <c r="AC11" s="28"/>
      <c r="AD11" s="28"/>
      <c r="AE11" s="28"/>
      <c r="AG11" s="28" t="s">
        <v>178</v>
      </c>
      <c r="AH11" t="s">
        <v>215</v>
      </c>
      <c r="BK11" s="28" t="s">
        <v>178</v>
      </c>
      <c r="BL11" t="s">
        <v>215</v>
      </c>
    </row>
    <row r="12" spans="2:91" ht="23.4" x14ac:dyDescent="0.45">
      <c r="B12" t="s">
        <v>355</v>
      </c>
      <c r="C12" s="94" t="s">
        <v>315</v>
      </c>
      <c r="S12" t="s">
        <v>219</v>
      </c>
      <c r="X12" t="s">
        <v>220</v>
      </c>
      <c r="AG12" t="s">
        <v>177</v>
      </c>
      <c r="AH12" t="s">
        <v>400</v>
      </c>
      <c r="AK12" t="s">
        <v>401</v>
      </c>
      <c r="BK12" t="s">
        <v>177</v>
      </c>
      <c r="BL12" t="s">
        <v>400</v>
      </c>
      <c r="BO12" t="s">
        <v>401</v>
      </c>
    </row>
    <row r="13" spans="2:91" x14ac:dyDescent="0.3">
      <c r="R13" s="28" t="s">
        <v>178</v>
      </c>
      <c r="S13" t="s">
        <v>215</v>
      </c>
      <c r="X13" t="s">
        <v>220</v>
      </c>
      <c r="AF13" s="161" t="s">
        <v>534</v>
      </c>
    </row>
    <row r="14" spans="2:91" ht="15" thickBot="1" x14ac:dyDescent="0.35">
      <c r="S14" t="s">
        <v>259</v>
      </c>
      <c r="T14" t="s">
        <v>260</v>
      </c>
      <c r="U14" t="s">
        <v>259</v>
      </c>
      <c r="V14" t="s">
        <v>260</v>
      </c>
      <c r="W14" s="28"/>
      <c r="AF14" s="49" t="s">
        <v>74</v>
      </c>
      <c r="BJ14" s="49" t="s">
        <v>74</v>
      </c>
    </row>
    <row r="15" spans="2:91" ht="15" x14ac:dyDescent="0.35">
      <c r="B15" s="153"/>
      <c r="C15" s="175" t="s">
        <v>504</v>
      </c>
      <c r="D15" s="176"/>
      <c r="E15" s="177" t="s">
        <v>546</v>
      </c>
      <c r="F15" s="178"/>
      <c r="AF15" s="50" t="s">
        <v>38</v>
      </c>
      <c r="BJ15" s="50" t="s">
        <v>38</v>
      </c>
    </row>
    <row r="16" spans="2:91" x14ac:dyDescent="0.3">
      <c r="B16" s="154"/>
      <c r="C16" s="151" t="s">
        <v>545</v>
      </c>
      <c r="D16" s="129" t="s">
        <v>544</v>
      </c>
      <c r="E16" s="151" t="s">
        <v>545</v>
      </c>
      <c r="F16" s="129" t="s">
        <v>544</v>
      </c>
      <c r="O16" t="s">
        <v>261</v>
      </c>
      <c r="P16" t="s">
        <v>217</v>
      </c>
      <c r="Q16">
        <f>_xlfn.T.TEST(AG16:BF16,BK16:CI16,2,2)</f>
        <v>1.31715995400674E-2</v>
      </c>
      <c r="R16" t="s">
        <v>171</v>
      </c>
      <c r="S16" s="39"/>
      <c r="T16" s="39"/>
      <c r="U16" s="39"/>
      <c r="V16" s="39"/>
      <c r="W16" s="68"/>
      <c r="X16" t="str">
        <f>CONCATENATE(TRUNC(Y16,2), ",  (", TRUNC(Z16,2), " , ", TRUNC(AA16,2), "), ", S16)</f>
        <v xml:space="preserve">2.03,  (1.31 , 2.44), </v>
      </c>
      <c r="Y16">
        <f>MEDIAN(AG16:BF16)</f>
        <v>2.0310106221246098</v>
      </c>
      <c r="Z16">
        <f>_xlfn.PERCENTILE.INC(AG16:BF16, 0.25)</f>
        <v>1.3183050366020126</v>
      </c>
      <c r="AA16">
        <f>_xlfn.PERCENTILE.INC(AG16:BF16, 0.75)</f>
        <v>2.4406173574658698</v>
      </c>
      <c r="AB16" t="str">
        <f>CONCATENATE(TRUNC(AC16,2), ",  (", TRUNC(AD16,2), " , ", TRUNC(AE16,2), "), ", U16)</f>
        <v xml:space="preserve">3.49,  (3 , 4.41), </v>
      </c>
      <c r="AC16">
        <f>MEDIAN(BK16:CI16)</f>
        <v>3.4916171583665299</v>
      </c>
      <c r="AD16">
        <f>_xlfn.PERCENTILE.INC(BK16:CI16, 0.25)</f>
        <v>3.0058634690102899</v>
      </c>
      <c r="AE16">
        <f>_xlfn.PERCENTILE.INC(BK16:CI16, 0.75)</f>
        <v>4.4192218068685998</v>
      </c>
      <c r="AF16" s="48" t="s">
        <v>39</v>
      </c>
      <c r="AG16" t="s">
        <v>162</v>
      </c>
      <c r="AH16" t="s">
        <v>162</v>
      </c>
      <c r="AI16" s="116">
        <v>1.0353460761712401</v>
      </c>
      <c r="AJ16" s="115">
        <v>1.2682005701616701</v>
      </c>
      <c r="AK16" s="116">
        <v>1.4686184359230401</v>
      </c>
      <c r="AL16" s="59" t="s">
        <v>162</v>
      </c>
      <c r="AM16" s="58" t="s">
        <v>162</v>
      </c>
      <c r="AN16" s="116">
        <v>3.8057337647892302</v>
      </c>
      <c r="AO16" s="117" t="s">
        <v>162</v>
      </c>
      <c r="AP16" s="59" t="s">
        <v>162</v>
      </c>
      <c r="AQ16" s="116">
        <v>2.6795098282827001</v>
      </c>
      <c r="AR16" s="58" t="s">
        <v>162</v>
      </c>
      <c r="AS16" s="116">
        <v>2.0715395043729901</v>
      </c>
      <c r="AT16" s="58" t="s">
        <v>162</v>
      </c>
      <c r="AU16" s="58" t="s">
        <v>162</v>
      </c>
      <c r="AV16" s="58" t="s">
        <v>162</v>
      </c>
      <c r="AW16" s="116">
        <v>2.1215017210032299</v>
      </c>
      <c r="AX16" s="58" t="s">
        <v>162</v>
      </c>
      <c r="AY16" s="58" t="s">
        <v>162</v>
      </c>
      <c r="AZ16" s="116">
        <v>2.5469892362867501</v>
      </c>
      <c r="BA16" s="58" t="s">
        <v>162</v>
      </c>
      <c r="BB16" s="116">
        <v>1.0042222912144501</v>
      </c>
      <c r="BC16" s="116">
        <v>1.99048173987623</v>
      </c>
      <c r="BJ16" s="48" t="s">
        <v>39</v>
      </c>
      <c r="BK16" s="116">
        <v>5.1297123146644399</v>
      </c>
      <c r="BL16" s="116">
        <v>4.4192218068685998</v>
      </c>
      <c r="BM16" s="62" t="s">
        <v>162</v>
      </c>
      <c r="BN16" s="59" t="s">
        <v>162</v>
      </c>
      <c r="BO16" s="58">
        <v>4.0945895135836201</v>
      </c>
      <c r="BP16" s="59" t="s">
        <v>162</v>
      </c>
      <c r="BQ16" s="58">
        <v>3.2054336749115202</v>
      </c>
      <c r="BR16" s="58">
        <v>3.0185355998543599</v>
      </c>
      <c r="BS16" s="116">
        <v>5.3625568256932699</v>
      </c>
      <c r="BT16" s="58">
        <v>4.4483988255018403</v>
      </c>
      <c r="BU16" s="116">
        <v>1.88771703054219</v>
      </c>
      <c r="BV16" s="58">
        <v>3.4916171583665299</v>
      </c>
      <c r="BW16" s="116">
        <v>0.89080942531380403</v>
      </c>
      <c r="BX16" s="59" t="s">
        <v>162</v>
      </c>
      <c r="BY16" s="116">
        <v>3.6280002060613099</v>
      </c>
      <c r="BZ16" t="s">
        <v>162</v>
      </c>
      <c r="CA16" s="116">
        <v>3.0058634690102899</v>
      </c>
      <c r="CB16" t="s">
        <v>162</v>
      </c>
      <c r="CC16" s="116">
        <v>1.16601088242468</v>
      </c>
    </row>
    <row r="17" spans="2:81" ht="15" customHeight="1" x14ac:dyDescent="0.3">
      <c r="B17" s="155" t="s">
        <v>3</v>
      </c>
      <c r="C17" s="152" t="s">
        <v>530</v>
      </c>
      <c r="D17" s="111" t="s">
        <v>531</v>
      </c>
      <c r="E17" s="108" t="s">
        <v>532</v>
      </c>
      <c r="F17" s="103" t="s">
        <v>533</v>
      </c>
      <c r="H17" s="99">
        <v>45057</v>
      </c>
      <c r="I17" t="s">
        <v>480</v>
      </c>
      <c r="P17" t="s">
        <v>173</v>
      </c>
      <c r="Q17">
        <f>_xlfn.T.TEST(AG17:BF17,BK17:CI17,2,2)</f>
        <v>0.361892289467034</v>
      </c>
      <c r="R17" t="s">
        <v>171</v>
      </c>
      <c r="S17" s="39"/>
      <c r="T17" s="39"/>
      <c r="U17" s="39"/>
      <c r="V17" s="39"/>
      <c r="W17" s="68"/>
      <c r="X17" t="str">
        <f t="shared" ref="X17:X22" si="1">CONCATENATE(TRUNC(Y17,2), ",  (", TRUNC(Z17,2), " , ", TRUNC(AA17,2), "), ", S17)</f>
        <v xml:space="preserve">1.68,  (1.47 , 1.95), </v>
      </c>
      <c r="Y17">
        <f>MEDIAN(AG17:BF17)</f>
        <v>1.6856483854389301</v>
      </c>
      <c r="Z17">
        <f>_xlfn.PERCENTILE.INC(AG17:BF17, 0.25)</f>
        <v>1.4730303421885049</v>
      </c>
      <c r="AA17">
        <f>_xlfn.PERCENTILE.INC(AG17:BF17, 0.75)</f>
        <v>1.9516188468897351</v>
      </c>
      <c r="AB17" t="str">
        <f t="shared" ref="AB17:AB22" si="2">CONCATENATE(TRUNC(AC17,2), ",  (", TRUNC(AD17,2), " , ", TRUNC(AE17,2), "), ", U17)</f>
        <v xml:space="preserve">2.23,  (1.36 , 2.77), </v>
      </c>
      <c r="AC17">
        <f>MEDIAN(BK17:CI17)</f>
        <v>2.2360982545295549</v>
      </c>
      <c r="AD17">
        <f>_xlfn.PERCENTILE.INC(BK17:CI17, 0.25)</f>
        <v>1.3638062567191749</v>
      </c>
      <c r="AE17">
        <f>_xlfn.PERCENTILE.INC(BK17:CI17, 0.75)</f>
        <v>2.7703627074702175</v>
      </c>
      <c r="AF17" s="48" t="s">
        <v>40</v>
      </c>
      <c r="AG17" t="s">
        <v>162</v>
      </c>
      <c r="AH17" t="s">
        <v>162</v>
      </c>
      <c r="AI17" s="116">
        <v>1.85086824941409</v>
      </c>
      <c r="AJ17" s="116">
        <v>1.37572067569113</v>
      </c>
      <c r="AK17" s="59" t="s">
        <v>162</v>
      </c>
      <c r="AL17" s="59" t="s">
        <v>162</v>
      </c>
      <c r="AM17" s="58" t="s">
        <v>162</v>
      </c>
      <c r="AN17" s="116">
        <v>1.82002944200695</v>
      </c>
      <c r="AO17" s="117" t="s">
        <v>162</v>
      </c>
      <c r="AP17" s="59" t="s">
        <v>162</v>
      </c>
      <c r="AQ17" s="116">
        <v>2.5623985222914101</v>
      </c>
      <c r="AR17" s="58" t="s">
        <v>162</v>
      </c>
      <c r="AS17" s="116">
        <v>1.50546689768763</v>
      </c>
      <c r="AT17" s="58" t="s">
        <v>162</v>
      </c>
      <c r="AU17" s="58" t="s">
        <v>162</v>
      </c>
      <c r="AV17" s="58" t="s">
        <v>162</v>
      </c>
      <c r="AW17" s="116">
        <v>0.96979518498437101</v>
      </c>
      <c r="AX17" s="58" t="s">
        <v>162</v>
      </c>
      <c r="AY17" s="58" t="s">
        <v>162</v>
      </c>
      <c r="AZ17" s="116">
        <v>2.2538706393166699</v>
      </c>
      <c r="BA17" s="58" t="s">
        <v>162</v>
      </c>
      <c r="BB17" s="61" t="s">
        <v>162</v>
      </c>
      <c r="BC17" s="116">
        <v>1.55126732887091</v>
      </c>
      <c r="BJ17" s="48" t="s">
        <v>40</v>
      </c>
      <c r="BK17" s="116">
        <v>3.91432551509758</v>
      </c>
      <c r="BL17" s="116">
        <v>2.7326792152584201</v>
      </c>
      <c r="BM17" s="62" t="s">
        <v>162</v>
      </c>
      <c r="BN17" s="62" t="s">
        <v>162</v>
      </c>
      <c r="BO17" s="58">
        <v>2.2407940760098302</v>
      </c>
      <c r="BP17" s="116">
        <v>1.4673970641015099</v>
      </c>
      <c r="BQ17" s="58">
        <v>2.7796820045573698</v>
      </c>
      <c r="BR17" s="58">
        <v>1.8226959602389401</v>
      </c>
      <c r="BS17" s="116">
        <v>0.80858041220497401</v>
      </c>
      <c r="BT17" s="58">
        <v>2.7424048162087602</v>
      </c>
      <c r="BU17" s="116">
        <v>1.3292759875917299</v>
      </c>
      <c r="BV17" s="58">
        <v>2.9433935976079</v>
      </c>
      <c r="BW17" s="59" t="s">
        <v>162</v>
      </c>
      <c r="BX17" s="58">
        <v>0.57791323864861399</v>
      </c>
      <c r="BY17" s="116">
        <v>3.2902077967872501</v>
      </c>
      <c r="BZ17" t="s">
        <v>162</v>
      </c>
      <c r="CA17" s="116">
        <v>2.2314024330492801</v>
      </c>
      <c r="CB17" t="s">
        <v>162</v>
      </c>
      <c r="CC17" s="116">
        <v>0.58246273658529302</v>
      </c>
    </row>
    <row r="18" spans="2:81" ht="15" customHeight="1" thickBot="1" x14ac:dyDescent="0.35">
      <c r="B18" s="157" t="s">
        <v>292</v>
      </c>
      <c r="C18" s="158" t="s">
        <v>510</v>
      </c>
      <c r="D18" s="112" t="s">
        <v>511</v>
      </c>
      <c r="E18" s="109" t="s">
        <v>512</v>
      </c>
      <c r="F18" s="105" t="s">
        <v>513</v>
      </c>
      <c r="H18" s="99">
        <v>45057</v>
      </c>
      <c r="I18" t="s">
        <v>481</v>
      </c>
      <c r="AF18" s="50" t="s">
        <v>41</v>
      </c>
      <c r="BJ18" s="50" t="s">
        <v>41</v>
      </c>
    </row>
    <row r="19" spans="2:81" x14ac:dyDescent="0.3">
      <c r="C19" s="58"/>
      <c r="D19" s="58"/>
      <c r="E19" s="58"/>
      <c r="F19" s="58"/>
      <c r="AF19" s="50"/>
      <c r="BJ19" s="50"/>
    </row>
    <row r="20" spans="2:81" x14ac:dyDescent="0.3">
      <c r="C20" s="58"/>
      <c r="D20" s="58"/>
      <c r="E20" s="58"/>
      <c r="F20" s="58"/>
      <c r="AF20" s="50"/>
      <c r="BJ20" s="50"/>
    </row>
    <row r="21" spans="2:81" x14ac:dyDescent="0.3">
      <c r="C21" s="58"/>
      <c r="D21" s="125" t="s">
        <v>283</v>
      </c>
      <c r="E21" s="58"/>
      <c r="F21" s="58"/>
      <c r="I21" s="1"/>
      <c r="J21" s="1"/>
      <c r="P21" t="s">
        <v>173</v>
      </c>
      <c r="Q21">
        <f>_xlfn.T.TEST(AG21:BF21,BK21:CI21,2,2)</f>
        <v>0.41582109397182643</v>
      </c>
      <c r="R21" t="s">
        <v>171</v>
      </c>
      <c r="S21" s="39"/>
      <c r="T21" s="39"/>
      <c r="U21" s="39"/>
      <c r="V21" s="39"/>
      <c r="W21" s="68"/>
      <c r="X21" t="str">
        <f>CONCATENATE(TRUNC(Y21,2), ",  (", TRUNC(Z21,2), " , ", TRUNC(AA21,2), "), ", S21)</f>
        <v xml:space="preserve">1.88,  (1.69 , 3.26), </v>
      </c>
      <c r="Y21">
        <f>MEDIAN(AG21:BF21)</f>
        <v>1.8837692386865601</v>
      </c>
      <c r="Z21">
        <f>_xlfn.PERCENTILE.INC(AG21:BF21, 0.25)</f>
        <v>1.6951827972420499</v>
      </c>
      <c r="AA21">
        <f>_xlfn.PERCENTILE.INC(AG21:BF21, 0.75)</f>
        <v>3.2643166171016702</v>
      </c>
      <c r="AB21" t="str">
        <f t="shared" si="2"/>
        <v xml:space="preserve">1.81,  (1.22 , 2.82), </v>
      </c>
      <c r="AC21">
        <f>MEDIAN(BK21:CI21)</f>
        <v>1.8149816003119099</v>
      </c>
      <c r="AD21">
        <f>_xlfn.PERCENTILE.INC(BK21:CI21, 0.25)</f>
        <v>1.2293940046119924</v>
      </c>
      <c r="AE21">
        <f>_xlfn.PERCENTILE.INC(BK21:CI21, 0.75)</f>
        <v>2.824564356556345</v>
      </c>
      <c r="AF21" s="48" t="s">
        <v>39</v>
      </c>
      <c r="AG21" t="s">
        <v>162</v>
      </c>
      <c r="AH21" t="s">
        <v>162</v>
      </c>
      <c r="AI21" t="s">
        <v>162</v>
      </c>
      <c r="AJ21" t="s">
        <v>162</v>
      </c>
      <c r="AK21" t="s">
        <v>162</v>
      </c>
      <c r="AL21" s="58">
        <v>1.4161592237265099</v>
      </c>
      <c r="AM21" s="58" t="s">
        <v>162</v>
      </c>
      <c r="AN21" s="58">
        <v>1.7405020880969599</v>
      </c>
      <c r="AO21" s="117" t="s">
        <v>162</v>
      </c>
      <c r="AP21" s="59" t="s">
        <v>162</v>
      </c>
      <c r="AQ21" s="58">
        <v>1.40354475865929</v>
      </c>
      <c r="AR21" s="58" t="s">
        <v>162</v>
      </c>
      <c r="AS21" s="58">
        <v>1.8837692386865601</v>
      </c>
      <c r="AT21" s="58" t="s">
        <v>162</v>
      </c>
      <c r="AU21" s="58" t="s">
        <v>162</v>
      </c>
      <c r="AV21" s="58" t="s">
        <v>162</v>
      </c>
      <c r="AW21" s="116">
        <v>2.2784577091748002</v>
      </c>
      <c r="AX21" s="58" t="s">
        <v>162</v>
      </c>
      <c r="AY21" s="58" t="s">
        <v>162</v>
      </c>
      <c r="AZ21" s="116">
        <v>3.7921899287678702</v>
      </c>
      <c r="BA21" s="116">
        <v>3.2643166171016702</v>
      </c>
      <c r="BB21" s="116">
        <v>5.6487337950156</v>
      </c>
      <c r="BC21" s="116">
        <v>1.6951827972420499</v>
      </c>
      <c r="BJ21" s="48" t="s">
        <v>39</v>
      </c>
      <c r="BK21" t="s">
        <v>162</v>
      </c>
      <c r="BL21" t="s">
        <v>162</v>
      </c>
      <c r="BM21" t="s">
        <v>162</v>
      </c>
      <c r="BN21" t="s">
        <v>162</v>
      </c>
      <c r="BO21" t="s">
        <v>162</v>
      </c>
      <c r="BP21" t="s">
        <v>162</v>
      </c>
      <c r="BQ21" t="s">
        <v>162</v>
      </c>
      <c r="BR21" t="s">
        <v>162</v>
      </c>
      <c r="BS21" s="58">
        <v>0.89316309394488103</v>
      </c>
      <c r="BT21" s="116">
        <v>2.72033210885757</v>
      </c>
      <c r="BU21" s="116">
        <v>2.9287966042551199</v>
      </c>
      <c r="BV21" s="58">
        <v>3.4387836114208898</v>
      </c>
      <c r="BW21" s="59" t="s">
        <v>162</v>
      </c>
      <c r="BX21" s="58">
        <v>0.90489098867090501</v>
      </c>
      <c r="BY21" s="59" t="s">
        <v>162</v>
      </c>
      <c r="BZ21" t="s">
        <v>162</v>
      </c>
      <c r="CA21" s="116">
        <v>1.55389702055308</v>
      </c>
      <c r="CB21" t="s">
        <v>162</v>
      </c>
      <c r="CC21" s="116">
        <v>1.8149816003119099</v>
      </c>
    </row>
    <row r="22" spans="2:81" ht="23.4" x14ac:dyDescent="0.45">
      <c r="B22" t="s">
        <v>354</v>
      </c>
      <c r="C22" s="126" t="s">
        <v>356</v>
      </c>
      <c r="D22" s="58"/>
      <c r="E22" s="58"/>
      <c r="F22" s="58"/>
      <c r="P22" t="s">
        <v>173</v>
      </c>
      <c r="Q22">
        <f>_xlfn.T.TEST(AG22:BF22,BK22:CI22,2,2)</f>
        <v>1.0698088758727188E-2</v>
      </c>
      <c r="R22" t="s">
        <v>171</v>
      </c>
      <c r="S22" s="39"/>
      <c r="T22" s="39"/>
      <c r="U22" s="39"/>
      <c r="V22" s="39"/>
      <c r="W22" s="68"/>
      <c r="X22" t="str">
        <f t="shared" si="1"/>
        <v xml:space="preserve">2.19,  (1.87 , 2.55), </v>
      </c>
      <c r="Y22">
        <f>MEDIAN(AG22:BF22)</f>
        <v>2.19564463555766</v>
      </c>
      <c r="Z22">
        <f>_xlfn.PERCENTILE.INC(AG22:BF22, 0.25)</f>
        <v>1.8748035499796001</v>
      </c>
      <c r="AA22">
        <f>_xlfn.PERCENTILE.INC(AG22:BF22, 0.75)</f>
        <v>2.5594957129124101</v>
      </c>
      <c r="AB22" t="str">
        <f t="shared" si="2"/>
        <v xml:space="preserve">1.35,  (0.82 , 1.53), </v>
      </c>
      <c r="AC22">
        <f>MEDIAN(BK22:CI22)</f>
        <v>1.35482418737221</v>
      </c>
      <c r="AD22">
        <f>_xlfn.PERCENTILE.INC(BK22:CI22, 0.25)</f>
        <v>0.82319953655207001</v>
      </c>
      <c r="AE22">
        <f>_xlfn.PERCENTILE.INC(BK22:CI22, 0.75)</f>
        <v>1.5374163100735001</v>
      </c>
      <c r="AF22" s="48" t="s">
        <v>40</v>
      </c>
      <c r="AG22" t="s">
        <v>162</v>
      </c>
      <c r="AH22" t="s">
        <v>162</v>
      </c>
      <c r="AI22" t="s">
        <v>162</v>
      </c>
      <c r="AJ22" t="s">
        <v>162</v>
      </c>
      <c r="AK22" t="s">
        <v>162</v>
      </c>
      <c r="AL22" s="59" t="s">
        <v>162</v>
      </c>
      <c r="AM22" s="58" t="s">
        <v>162</v>
      </c>
      <c r="AN22" s="59" t="s">
        <v>162</v>
      </c>
      <c r="AO22" s="117" t="s">
        <v>162</v>
      </c>
      <c r="AP22" s="59" t="s">
        <v>162</v>
      </c>
      <c r="AQ22" s="58">
        <v>1.8748035499796001</v>
      </c>
      <c r="AR22" s="58" t="s">
        <v>162</v>
      </c>
      <c r="AS22" s="59" t="s">
        <v>162</v>
      </c>
      <c r="AT22" s="58" t="s">
        <v>162</v>
      </c>
      <c r="AU22" s="58" t="s">
        <v>162</v>
      </c>
      <c r="AV22" s="58" t="s">
        <v>162</v>
      </c>
      <c r="AW22" s="116">
        <v>2.19564463555766</v>
      </c>
      <c r="AX22" s="58" t="s">
        <v>162</v>
      </c>
      <c r="AY22" s="58" t="s">
        <v>162</v>
      </c>
      <c r="AZ22" s="116">
        <v>3.7528026920173101</v>
      </c>
      <c r="BA22" s="116">
        <v>2.5594957129124101</v>
      </c>
      <c r="BB22" s="61" t="s">
        <v>162</v>
      </c>
      <c r="BC22" s="116">
        <v>1.78445355046343</v>
      </c>
      <c r="BJ22" s="48" t="s">
        <v>40</v>
      </c>
      <c r="BK22" t="s">
        <v>162</v>
      </c>
      <c r="BL22" t="s">
        <v>162</v>
      </c>
      <c r="BM22" t="s">
        <v>162</v>
      </c>
      <c r="BN22" t="s">
        <v>162</v>
      </c>
      <c r="BO22" t="s">
        <v>162</v>
      </c>
      <c r="BP22" t="s">
        <v>162</v>
      </c>
      <c r="BQ22" t="s">
        <v>162</v>
      </c>
      <c r="BR22" t="s">
        <v>162</v>
      </c>
      <c r="BS22" s="58">
        <v>0.52535944249941502</v>
      </c>
      <c r="BT22" s="116">
        <v>1.35482418737221</v>
      </c>
      <c r="BU22" s="116">
        <v>1.55635785168836</v>
      </c>
      <c r="BV22" s="58">
        <v>2.5404880981468598</v>
      </c>
      <c r="BW22" s="116">
        <v>1.1218892059474299</v>
      </c>
      <c r="BX22" s="58">
        <v>1.47958805400294</v>
      </c>
      <c r="BY22" s="58">
        <v>0.82319953655207001</v>
      </c>
      <c r="BZ22" t="s">
        <v>162</v>
      </c>
      <c r="CA22" s="116">
        <v>1.5374163100735001</v>
      </c>
      <c r="CB22" t="s">
        <v>162</v>
      </c>
      <c r="CC22" s="116">
        <v>0.53042259043599305</v>
      </c>
    </row>
    <row r="23" spans="2:81" x14ac:dyDescent="0.3">
      <c r="C23" s="58"/>
      <c r="D23" s="58"/>
      <c r="E23" s="58"/>
      <c r="F23" s="58"/>
      <c r="S23" s="39"/>
      <c r="T23" s="39"/>
      <c r="U23" s="39"/>
      <c r="V23" s="39"/>
      <c r="W23" s="68"/>
      <c r="AK23" s="58"/>
      <c r="AL23" s="59"/>
      <c r="AM23" s="58"/>
      <c r="AN23" s="61"/>
      <c r="AO23" s="62"/>
      <c r="AP23" s="58"/>
      <c r="AQ23" s="58"/>
      <c r="AR23" s="58"/>
      <c r="AS23" s="61"/>
      <c r="AT23" s="58"/>
      <c r="BS23" s="58"/>
      <c r="BT23" s="58"/>
      <c r="BU23" s="58"/>
    </row>
    <row r="24" spans="2:81" ht="15" thickBot="1" x14ac:dyDescent="0.35">
      <c r="C24" s="58"/>
      <c r="D24" s="58"/>
      <c r="E24" s="58"/>
      <c r="F24" s="58"/>
      <c r="S24" s="39"/>
      <c r="T24" s="39"/>
      <c r="U24" s="39"/>
      <c r="V24" s="39"/>
      <c r="W24" s="68"/>
      <c r="AK24" s="58"/>
      <c r="AL24" s="59"/>
      <c r="AM24" s="58"/>
      <c r="AN24" s="61"/>
      <c r="AO24" s="62"/>
      <c r="AP24" s="58"/>
      <c r="AQ24" s="58"/>
      <c r="AR24" s="58"/>
      <c r="AS24" s="61"/>
      <c r="AT24" s="58"/>
      <c r="BS24" s="58"/>
      <c r="BT24" s="58"/>
      <c r="BU24" s="58"/>
    </row>
    <row r="25" spans="2:81" ht="15" customHeight="1" x14ac:dyDescent="0.35">
      <c r="B25" s="153"/>
      <c r="C25" s="179" t="s">
        <v>504</v>
      </c>
      <c r="D25" s="180"/>
      <c r="E25" s="177" t="s">
        <v>546</v>
      </c>
      <c r="F25" s="178"/>
      <c r="S25" s="39"/>
      <c r="T25" s="39"/>
      <c r="U25" s="39"/>
      <c r="V25" s="39"/>
      <c r="W25" s="68"/>
      <c r="AF25" s="161" t="s">
        <v>534</v>
      </c>
      <c r="AK25" s="58"/>
      <c r="AL25" s="59"/>
      <c r="AM25" s="58"/>
      <c r="AN25" s="61"/>
      <c r="AO25" s="62"/>
      <c r="AP25" s="58"/>
      <c r="AQ25" s="58"/>
      <c r="AR25" s="58"/>
      <c r="AS25" s="61"/>
      <c r="AT25" s="58"/>
      <c r="BJ25" s="161" t="s">
        <v>534</v>
      </c>
      <c r="BS25" s="58"/>
      <c r="BT25" s="58"/>
      <c r="BU25" s="58"/>
    </row>
    <row r="26" spans="2:81" x14ac:dyDescent="0.3">
      <c r="B26" s="154"/>
      <c r="C26" s="151" t="s">
        <v>545</v>
      </c>
      <c r="D26" s="129" t="s">
        <v>544</v>
      </c>
      <c r="E26" s="151" t="s">
        <v>545</v>
      </c>
      <c r="F26" s="129" t="s">
        <v>544</v>
      </c>
      <c r="H26" s="1"/>
      <c r="R26" s="39"/>
      <c r="S26" s="39"/>
      <c r="T26" s="39"/>
      <c r="U26" s="39"/>
      <c r="V26" s="68"/>
      <c r="AF26" s="49" t="s">
        <v>74</v>
      </c>
      <c r="AJ26" s="58"/>
      <c r="AK26" s="59"/>
      <c r="AL26" s="58"/>
      <c r="AM26" s="61"/>
      <c r="AN26" s="62"/>
      <c r="AO26" s="58"/>
      <c r="AP26" s="58"/>
      <c r="AQ26" s="58"/>
      <c r="AR26" s="61"/>
      <c r="AS26" s="58"/>
      <c r="BJ26" s="49" t="s">
        <v>74</v>
      </c>
      <c r="BR26" s="58"/>
      <c r="BS26" s="58"/>
      <c r="BT26" s="58"/>
    </row>
    <row r="27" spans="2:81" x14ac:dyDescent="0.3">
      <c r="B27" s="156" t="s">
        <v>301</v>
      </c>
      <c r="C27" s="152" t="s">
        <v>526</v>
      </c>
      <c r="D27" s="111" t="s">
        <v>527</v>
      </c>
      <c r="E27" s="108" t="s">
        <v>528</v>
      </c>
      <c r="F27" s="103" t="s">
        <v>529</v>
      </c>
      <c r="H27" s="99">
        <v>45057</v>
      </c>
      <c r="I27" t="s">
        <v>482</v>
      </c>
      <c r="J27" s="10"/>
      <c r="R27" s="39"/>
      <c r="S27" s="39"/>
      <c r="T27" s="39"/>
      <c r="U27" s="39"/>
      <c r="V27" s="68"/>
      <c r="AF27" s="50" t="s">
        <v>38</v>
      </c>
      <c r="AJ27" s="58"/>
      <c r="AK27" s="59"/>
      <c r="AL27" s="58"/>
      <c r="AM27" s="61"/>
      <c r="AN27" s="62"/>
      <c r="AO27" s="58"/>
      <c r="AP27" s="58"/>
      <c r="AQ27" s="58"/>
      <c r="AR27" s="61"/>
      <c r="AS27" s="58"/>
      <c r="BJ27" s="50" t="s">
        <v>38</v>
      </c>
      <c r="BR27" s="58"/>
      <c r="BS27" s="58"/>
      <c r="BT27" s="58"/>
    </row>
    <row r="28" spans="2:81" x14ac:dyDescent="0.3">
      <c r="B28" s="156" t="s">
        <v>302</v>
      </c>
      <c r="C28" s="152" t="s">
        <v>522</v>
      </c>
      <c r="D28" s="111" t="s">
        <v>523</v>
      </c>
      <c r="E28" s="108" t="s">
        <v>524</v>
      </c>
      <c r="F28" s="103" t="s">
        <v>525</v>
      </c>
      <c r="H28" s="99">
        <v>45057</v>
      </c>
      <c r="I28" t="s">
        <v>483</v>
      </c>
      <c r="X28" t="str">
        <f>CONCATENATE(TRUNC(Y28,2), ",  (", TRUNC(Z28,2), " , ", TRUNC(AA28,2), "), ", S28)</f>
        <v xml:space="preserve">11,  (6.49 , 12.25), </v>
      </c>
      <c r="Y28" s="89">
        <f>MEDIAN(AG28:BF28)</f>
        <v>11</v>
      </c>
      <c r="Z28">
        <f>_xlfn.PERCENTILE.INC(AG28:BF28, 0.25)</f>
        <v>6.4950000000000001</v>
      </c>
      <c r="AA28">
        <f>_xlfn.PERCENTILE.INC(AG28:BF28, 0.75)</f>
        <v>12.2525</v>
      </c>
      <c r="AB28" t="str">
        <f>CONCATENATE(TRUNC(AC28,2), ",  (", TRUNC(AD28,2), " , ", TRUNC(AE28,2), "), ", U28)</f>
        <v xml:space="preserve">6.51,  (1.49 , 10.5), </v>
      </c>
      <c r="AC28">
        <f>MEDIAN(BK28:CI28)</f>
        <v>6.51</v>
      </c>
      <c r="AD28">
        <f>_xlfn.PERCENTILE.INC(BK28:CI28, 0.25)</f>
        <v>1.49</v>
      </c>
      <c r="AE28">
        <f>_xlfn.PERCENTILE.INC(BK28:CI28, 0.75)</f>
        <v>10.5</v>
      </c>
      <c r="AF28" s="48" t="s">
        <v>503</v>
      </c>
      <c r="AG28" t="s">
        <v>162</v>
      </c>
      <c r="AH28" t="s">
        <v>162</v>
      </c>
      <c r="AI28" s="1">
        <v>17.510000000000002</v>
      </c>
      <c r="AJ28" s="1">
        <v>18.5</v>
      </c>
      <c r="AK28" s="1">
        <v>10.5</v>
      </c>
      <c r="AL28" s="59" t="s">
        <v>162</v>
      </c>
      <c r="AM28" t="s">
        <v>162</v>
      </c>
      <c r="AN28" s="1">
        <v>6.51</v>
      </c>
      <c r="AO28" t="s">
        <v>162</v>
      </c>
      <c r="AP28" s="59" t="s">
        <v>162</v>
      </c>
      <c r="AQ28" s="1">
        <v>6.49</v>
      </c>
      <c r="AR28" t="s">
        <v>162</v>
      </c>
      <c r="AS28" s="1">
        <v>11.5</v>
      </c>
      <c r="AT28" t="s">
        <v>162</v>
      </c>
      <c r="AU28" t="s">
        <v>162</v>
      </c>
      <c r="AV28" t="s">
        <v>162</v>
      </c>
      <c r="AW28" s="1">
        <v>11.51</v>
      </c>
      <c r="AX28" t="s">
        <v>162</v>
      </c>
      <c r="AY28" t="s">
        <v>162</v>
      </c>
      <c r="AZ28">
        <v>-3.51</v>
      </c>
      <c r="BA28" s="58" t="s">
        <v>162</v>
      </c>
      <c r="BB28">
        <v>12.5</v>
      </c>
      <c r="BC28">
        <v>3.51</v>
      </c>
      <c r="BJ28" s="48" t="s">
        <v>503</v>
      </c>
      <c r="BK28">
        <v>16.510000000000002</v>
      </c>
      <c r="BL28">
        <v>-2.48</v>
      </c>
      <c r="BM28" s="59" t="s">
        <v>162</v>
      </c>
      <c r="BN28" s="59" t="s">
        <v>162</v>
      </c>
      <c r="BO28">
        <v>8.77</v>
      </c>
      <c r="BP28" s="59" t="s">
        <v>162</v>
      </c>
      <c r="BQ28">
        <v>13.5</v>
      </c>
      <c r="BR28">
        <v>9.48</v>
      </c>
      <c r="BS28">
        <v>6.51</v>
      </c>
      <c r="BT28">
        <v>10.5</v>
      </c>
      <c r="BU28">
        <v>1.49</v>
      </c>
      <c r="BV28">
        <v>6.51</v>
      </c>
      <c r="BW28">
        <v>-4.58</v>
      </c>
      <c r="BX28" s="59" t="s">
        <v>162</v>
      </c>
      <c r="BY28">
        <v>6.49</v>
      </c>
      <c r="BZ28" t="s">
        <v>162</v>
      </c>
      <c r="CA28" s="1">
        <v>11.5</v>
      </c>
      <c r="CB28" t="s">
        <v>162</v>
      </c>
      <c r="CC28" s="1">
        <v>-4.5999999999999996</v>
      </c>
    </row>
    <row r="29" spans="2:81" x14ac:dyDescent="0.3">
      <c r="B29" s="156" t="s">
        <v>280</v>
      </c>
      <c r="C29" s="152" t="s">
        <v>506</v>
      </c>
      <c r="D29" s="111" t="s">
        <v>507</v>
      </c>
      <c r="E29" s="159" t="s">
        <v>508</v>
      </c>
      <c r="F29" s="160" t="s">
        <v>509</v>
      </c>
      <c r="H29" s="99">
        <v>45057</v>
      </c>
      <c r="I29" t="s">
        <v>483</v>
      </c>
      <c r="AF29" s="50" t="s">
        <v>41</v>
      </c>
      <c r="BJ29" s="50" t="s">
        <v>41</v>
      </c>
    </row>
    <row r="30" spans="2:81" x14ac:dyDescent="0.3">
      <c r="B30" s="156" t="s">
        <v>304</v>
      </c>
      <c r="C30" s="152" t="s">
        <v>518</v>
      </c>
      <c r="D30" s="111" t="s">
        <v>519</v>
      </c>
      <c r="E30" s="152" t="s">
        <v>520</v>
      </c>
      <c r="F30" s="103" t="s">
        <v>521</v>
      </c>
      <c r="H30" s="99">
        <v>45057</v>
      </c>
      <c r="I30" t="s">
        <v>483</v>
      </c>
      <c r="X30" t="e">
        <f>CONCATENATE(TRUNC(Y30,2), ",  (", TRUNC(Z30,2), " , ", TRUNC(AA30,2), "), ", S30)</f>
        <v>#NUM!</v>
      </c>
      <c r="Y30" t="e">
        <f>MEDIAN(AG30:BF30)</f>
        <v>#NUM!</v>
      </c>
      <c r="Z30" t="e">
        <f>_xlfn.PERCENTILE.INC(AG30:BF30, 0.25)</f>
        <v>#NUM!</v>
      </c>
      <c r="AA30" t="e">
        <f>_xlfn.PERCENTILE.INC(AG30:BF30, 0.75)</f>
        <v>#NUM!</v>
      </c>
      <c r="AB30" t="e">
        <f>CONCATENATE(TRUNC(AC30,2), ",  (", TRUNC(AD30,2), " , ", TRUNC(AE30,2), "), ", U30)</f>
        <v>#NUM!</v>
      </c>
      <c r="AC30" t="e">
        <f>MEDIAN(BK30:CI30)</f>
        <v>#NUM!</v>
      </c>
      <c r="AD30" t="e">
        <f>_xlfn.PERCENTILE.INC(BK30:CI30, 0.25)</f>
        <v>#NUM!</v>
      </c>
      <c r="AE30" t="e">
        <f>_xlfn.PERCENTILE.INC(BK30:CI30, 0.75)</f>
        <v>#NUM!</v>
      </c>
      <c r="AF30" s="48" t="s">
        <v>503</v>
      </c>
      <c r="BJ30" s="48" t="s">
        <v>503</v>
      </c>
    </row>
    <row r="31" spans="2:81" ht="15" thickBot="1" x14ac:dyDescent="0.35">
      <c r="B31" s="157" t="s">
        <v>305</v>
      </c>
      <c r="C31" s="158" t="s">
        <v>514</v>
      </c>
      <c r="D31" s="112" t="s">
        <v>515</v>
      </c>
      <c r="E31" s="109" t="s">
        <v>516</v>
      </c>
      <c r="F31" s="105" t="s">
        <v>517</v>
      </c>
      <c r="H31" s="99">
        <v>45057</v>
      </c>
      <c r="I31" t="s">
        <v>482</v>
      </c>
    </row>
    <row r="32" spans="2:81" ht="15" customHeight="1" x14ac:dyDescent="0.3"/>
    <row r="33" spans="2:81" ht="15.75" customHeight="1" x14ac:dyDescent="0.3">
      <c r="C33" s="58"/>
      <c r="D33" s="58"/>
      <c r="E33" s="58"/>
      <c r="F33" s="58"/>
    </row>
    <row r="34" spans="2:81" x14ac:dyDescent="0.3">
      <c r="X34" t="s">
        <v>220</v>
      </c>
      <c r="AF34" s="161" t="s">
        <v>535</v>
      </c>
      <c r="BJ34" s="161" t="s">
        <v>535</v>
      </c>
    </row>
    <row r="35" spans="2:81" x14ac:dyDescent="0.3">
      <c r="AF35" s="49" t="s">
        <v>74</v>
      </c>
      <c r="BJ35" s="49" t="s">
        <v>74</v>
      </c>
    </row>
    <row r="36" spans="2:81" x14ac:dyDescent="0.3">
      <c r="AF36" s="50" t="s">
        <v>38</v>
      </c>
      <c r="BJ36" s="50" t="s">
        <v>38</v>
      </c>
    </row>
    <row r="37" spans="2:81" x14ac:dyDescent="0.3">
      <c r="X37" t="str">
        <f>CONCATENATE(TRUNC(Y37,2), ",  (", TRUNC(Z37,2), " , ", TRUNC(AA37,2), "), ", S37)</f>
        <v xml:space="preserve">1.99,  (1.15 , 2.3), </v>
      </c>
      <c r="Y37">
        <f>MEDIAN(AG37:BF37)</f>
        <v>1.99048173987623</v>
      </c>
      <c r="Z37">
        <f>_xlfn.PERCENTILE.INC(AG37:BF37, 0.25)</f>
        <v>1.1517733231664551</v>
      </c>
      <c r="AA37">
        <f>_xlfn.PERCENTILE.INC(AG37:BF37, 0.75)</f>
        <v>2.3092643703298701</v>
      </c>
      <c r="AB37" t="str">
        <f>CONCATENATE(TRUNC(AC37,2), ",  (", TRUNC(AD37,2), " , ", TRUNC(AE37,2), "), ", U37)</f>
        <v xml:space="preserve">3.62,  (3.2 , 4.41), </v>
      </c>
      <c r="AC37">
        <f>MEDIAN(BK37:CI37)</f>
        <v>3.6280002060613099</v>
      </c>
      <c r="AD37">
        <f>_xlfn.PERCENTILE.INC(BK37:CI37, 0.25)</f>
        <v>3.2054336749115202</v>
      </c>
      <c r="AE37">
        <f>_xlfn.PERCENTILE.INC(BK37:CI37, 0.75)</f>
        <v>4.4192218068685998</v>
      </c>
      <c r="AF37" s="48" t="s">
        <v>39</v>
      </c>
      <c r="AG37" t="s">
        <v>162</v>
      </c>
      <c r="AH37" t="s">
        <v>162</v>
      </c>
      <c r="AI37" s="116">
        <v>1.0353460761712401</v>
      </c>
      <c r="AJ37" s="115">
        <v>1.2682005701616701</v>
      </c>
      <c r="AK37" s="162" t="s">
        <v>162</v>
      </c>
      <c r="AL37" s="162" t="s">
        <v>162</v>
      </c>
      <c r="AM37" s="58" t="s">
        <v>162</v>
      </c>
      <c r="AN37" s="162" t="s">
        <v>162</v>
      </c>
      <c r="AO37" s="162" t="s">
        <v>162</v>
      </c>
      <c r="AP37" s="162" t="s">
        <v>162</v>
      </c>
      <c r="AQ37" s="116">
        <v>2.6795098282827001</v>
      </c>
      <c r="AR37" s="58" t="s">
        <v>162</v>
      </c>
      <c r="AS37" s="116">
        <v>2.0715395043729901</v>
      </c>
      <c r="AT37" s="58" t="s">
        <v>162</v>
      </c>
      <c r="AU37" s="58" t="s">
        <v>162</v>
      </c>
      <c r="AV37" s="58" t="s">
        <v>162</v>
      </c>
      <c r="AW37" s="162" t="s">
        <v>162</v>
      </c>
      <c r="AX37" s="58" t="s">
        <v>162</v>
      </c>
      <c r="AY37" s="58" t="s">
        <v>162</v>
      </c>
      <c r="AZ37" s="116">
        <v>2.5469892362867501</v>
      </c>
      <c r="BA37" s="58" t="s">
        <v>162</v>
      </c>
      <c r="BB37" s="116">
        <v>1.0042222912144501</v>
      </c>
      <c r="BC37" s="116">
        <v>1.99048173987623</v>
      </c>
      <c r="BJ37" s="48" t="s">
        <v>39</v>
      </c>
      <c r="BK37" s="116">
        <v>5.1297123146644399</v>
      </c>
      <c r="BL37" s="116">
        <v>4.4192218068685998</v>
      </c>
      <c r="BM37" s="62" t="s">
        <v>162</v>
      </c>
      <c r="BN37" s="59" t="s">
        <v>162</v>
      </c>
      <c r="BO37" s="58">
        <v>4.0945895135836201</v>
      </c>
      <c r="BP37" s="59" t="s">
        <v>162</v>
      </c>
      <c r="BQ37" s="58">
        <v>3.2054336749115202</v>
      </c>
      <c r="BR37" s="58">
        <v>3.0185355998543599</v>
      </c>
      <c r="BS37" s="162" t="s">
        <v>162</v>
      </c>
      <c r="BT37" s="58">
        <v>4.4483988255018403</v>
      </c>
      <c r="BU37" s="162" t="s">
        <v>162</v>
      </c>
      <c r="BV37" s="58">
        <v>3.4916171583665299</v>
      </c>
      <c r="BW37" s="162" t="s">
        <v>162</v>
      </c>
      <c r="BX37" s="162" t="s">
        <v>162</v>
      </c>
      <c r="BY37" s="116">
        <v>3.6280002060613099</v>
      </c>
      <c r="BZ37" t="s">
        <v>162</v>
      </c>
      <c r="CA37" s="116">
        <v>3.0058634690102899</v>
      </c>
      <c r="CB37" t="s">
        <v>162</v>
      </c>
      <c r="CC37" s="162" t="s">
        <v>162</v>
      </c>
    </row>
    <row r="38" spans="2:81" x14ac:dyDescent="0.3">
      <c r="X38" t="e">
        <f>CONCATENATE(TRUNC(Y38,2), ",  (", TRUNC(Z38,2), " , ", TRUNC(AA38,2), "), ", S38)</f>
        <v>#NUM!</v>
      </c>
      <c r="Y38" t="e">
        <f>MEDIAN(AG38:BF38)</f>
        <v>#NUM!</v>
      </c>
      <c r="Z38" t="e">
        <f>_xlfn.PERCENTILE.INC(AG38:BF38, 0.25)</f>
        <v>#NUM!</v>
      </c>
      <c r="AA38" t="e">
        <f>_xlfn.PERCENTILE.INC(AG38:BF38, 0.75)</f>
        <v>#NUM!</v>
      </c>
      <c r="AB38" t="e">
        <f>CONCATENATE(TRUNC(AC38,2), ",  (", TRUNC(AD38,2), " , ", TRUNC(AE38,2), "), ", U38)</f>
        <v>#NUM!</v>
      </c>
      <c r="AC38" t="e">
        <f>MEDIAN(BK38:CI38)</f>
        <v>#NUM!</v>
      </c>
      <c r="AD38" t="e">
        <f>_xlfn.PERCENTILE.INC(BK38:CI38, 0.25)</f>
        <v>#NUM!</v>
      </c>
      <c r="AE38" t="e">
        <f>_xlfn.PERCENTILE.INC(BK38:CI38, 0.75)</f>
        <v>#NUM!</v>
      </c>
      <c r="AF38" s="48" t="s">
        <v>40</v>
      </c>
      <c r="BJ38" s="48" t="s">
        <v>40</v>
      </c>
    </row>
    <row r="39" spans="2:81" x14ac:dyDescent="0.3">
      <c r="AF39" s="50" t="s">
        <v>41</v>
      </c>
      <c r="BJ39" s="50" t="s">
        <v>41</v>
      </c>
    </row>
    <row r="40" spans="2:81" x14ac:dyDescent="0.3">
      <c r="AF40" s="50"/>
      <c r="BJ40" s="50"/>
    </row>
    <row r="41" spans="2:81" x14ac:dyDescent="0.3">
      <c r="AF41" s="50"/>
      <c r="BJ41" s="50"/>
    </row>
    <row r="42" spans="2:81" x14ac:dyDescent="0.3">
      <c r="X42" t="str">
        <f>CONCATENATE(TRUNC(Y42,2), ",  (", TRUNC(Z42,2), " , ", TRUNC(AA42,2), "), ", S42)</f>
        <v xml:space="preserve">2.57,  (1.74 , 3.66), </v>
      </c>
      <c r="Y42">
        <f>MEDIAN(AG42:BF42)</f>
        <v>2.5740429278941153</v>
      </c>
      <c r="Z42">
        <f>_xlfn.PERCENTILE.INC(AG42:BF42, 0.25)</f>
        <v>1.7423294076031774</v>
      </c>
      <c r="AA42">
        <f>_xlfn.PERCENTILE.INC(AG42:BF42, 0.75)</f>
        <v>3.6602216008513202</v>
      </c>
      <c r="AB42" t="str">
        <f>CONCATENATE(TRUNC(AC42,2), ",  (", TRUNC(AD42,2), " , ", TRUNC(AE42,2), "), ", U42)</f>
        <v xml:space="preserve">2.72,  (2.13 , 3.07), </v>
      </c>
      <c r="AC42">
        <f>MEDIAN(BK42:CI42)</f>
        <v>2.72033210885757</v>
      </c>
      <c r="AD42">
        <f>_xlfn.PERCENTILE.INC(BK42:CI42, 0.25)</f>
        <v>2.1371145647053251</v>
      </c>
      <c r="AE42">
        <f>_xlfn.PERCENTILE.INC(BK42:CI42, 0.75)</f>
        <v>3.0795578601392299</v>
      </c>
      <c r="AF42" s="48" t="s">
        <v>39</v>
      </c>
      <c r="AG42" t="s">
        <v>162</v>
      </c>
      <c r="AH42" t="s">
        <v>162</v>
      </c>
      <c r="AI42" t="s">
        <v>162</v>
      </c>
      <c r="AJ42" t="s">
        <v>162</v>
      </c>
      <c r="AK42" s="162" t="s">
        <v>162</v>
      </c>
      <c r="AL42" s="162" t="s">
        <v>162</v>
      </c>
      <c r="AM42" s="58" t="s">
        <v>162</v>
      </c>
      <c r="AN42" s="162" t="s">
        <v>162</v>
      </c>
      <c r="AO42" s="162" t="s">
        <v>162</v>
      </c>
      <c r="AP42" s="162" t="s">
        <v>162</v>
      </c>
      <c r="AQ42" s="58">
        <v>1.40354475865929</v>
      </c>
      <c r="AR42" s="58" t="s">
        <v>162</v>
      </c>
      <c r="AS42" s="58">
        <v>1.8837692386865601</v>
      </c>
      <c r="AT42" s="58" t="s">
        <v>162</v>
      </c>
      <c r="AU42" s="58" t="s">
        <v>162</v>
      </c>
      <c r="AV42" s="58" t="s">
        <v>162</v>
      </c>
      <c r="AW42" s="162" t="s">
        <v>162</v>
      </c>
      <c r="AX42" s="58" t="s">
        <v>162</v>
      </c>
      <c r="AY42" s="58" t="s">
        <v>162</v>
      </c>
      <c r="AZ42" s="116">
        <v>3.7921899287678702</v>
      </c>
      <c r="BA42" s="116">
        <v>3.2643166171016702</v>
      </c>
      <c r="BB42" s="116">
        <v>5.6487337950156</v>
      </c>
      <c r="BC42" s="116">
        <v>1.6951827972420499</v>
      </c>
      <c r="BJ42" s="48" t="s">
        <v>39</v>
      </c>
      <c r="BK42" t="s">
        <v>162</v>
      </c>
      <c r="BL42" t="s">
        <v>162</v>
      </c>
      <c r="BM42" t="s">
        <v>162</v>
      </c>
      <c r="BN42" t="s">
        <v>162</v>
      </c>
      <c r="BO42" t="s">
        <v>162</v>
      </c>
      <c r="BP42" t="s">
        <v>162</v>
      </c>
      <c r="BQ42" t="s">
        <v>162</v>
      </c>
      <c r="BR42" t="s">
        <v>162</v>
      </c>
      <c r="BS42" s="162" t="s">
        <v>162</v>
      </c>
      <c r="BT42" s="116">
        <v>2.72033210885757</v>
      </c>
      <c r="BU42" s="162" t="s">
        <v>162</v>
      </c>
      <c r="BV42" s="58">
        <v>3.4387836114208898</v>
      </c>
      <c r="BW42" s="162" t="s">
        <v>162</v>
      </c>
      <c r="BX42" s="162" t="s">
        <v>162</v>
      </c>
      <c r="BY42" s="59" t="s">
        <v>162</v>
      </c>
      <c r="BZ42" t="s">
        <v>162</v>
      </c>
      <c r="CA42" s="116">
        <v>1.55389702055308</v>
      </c>
      <c r="CB42" t="s">
        <v>162</v>
      </c>
      <c r="CC42" s="162" t="s">
        <v>162</v>
      </c>
    </row>
    <row r="43" spans="2:81" x14ac:dyDescent="0.3">
      <c r="X43" t="e">
        <f>CONCATENATE(TRUNC(Y43,2), ",  (", TRUNC(Z43,2), " , ", TRUNC(AA43,2), "), ", S43)</f>
        <v>#NUM!</v>
      </c>
      <c r="Y43" t="e">
        <f>MEDIAN(AG43:BF43)</f>
        <v>#NUM!</v>
      </c>
      <c r="Z43" t="e">
        <f>_xlfn.PERCENTILE.INC(AG43:BF43, 0.25)</f>
        <v>#NUM!</v>
      </c>
      <c r="AA43" t="e">
        <f>_xlfn.PERCENTILE.INC(AG43:BF43, 0.75)</f>
        <v>#NUM!</v>
      </c>
      <c r="AB43" t="e">
        <f>CONCATENATE(TRUNC(AC43,2), ",  (", TRUNC(AD43,2), " , ", TRUNC(AE43,2), "), ", U43)</f>
        <v>#NUM!</v>
      </c>
      <c r="AC43" t="e">
        <f>MEDIAN(BK43:CI43)</f>
        <v>#NUM!</v>
      </c>
      <c r="AD43" t="e">
        <f>_xlfn.PERCENTILE.INC(BK43:CI43, 0.25)</f>
        <v>#NUM!</v>
      </c>
      <c r="AE43" t="e">
        <f>_xlfn.PERCENTILE.INC(BK43:CI43, 0.75)</f>
        <v>#NUM!</v>
      </c>
      <c r="AF43" s="48" t="s">
        <v>40</v>
      </c>
      <c r="BJ43" s="48" t="s">
        <v>40</v>
      </c>
    </row>
    <row r="46" spans="2:81" x14ac:dyDescent="0.3">
      <c r="B46" t="s">
        <v>313</v>
      </c>
      <c r="AF46" s="161" t="s">
        <v>535</v>
      </c>
      <c r="BJ46" s="161" t="s">
        <v>535</v>
      </c>
    </row>
    <row r="47" spans="2:81" ht="15" thickBot="1" x14ac:dyDescent="0.35">
      <c r="AF47" s="49" t="s">
        <v>74</v>
      </c>
      <c r="BJ47" s="49" t="s">
        <v>74</v>
      </c>
    </row>
    <row r="48" spans="2:81" ht="15" thickBot="1" x14ac:dyDescent="0.35">
      <c r="B48" s="169" t="s">
        <v>314</v>
      </c>
      <c r="C48" s="170"/>
      <c r="D48" s="171"/>
      <c r="AF48" s="50" t="s">
        <v>38</v>
      </c>
      <c r="BJ48" s="50" t="s">
        <v>38</v>
      </c>
    </row>
    <row r="49" spans="2:81" x14ac:dyDescent="0.3">
      <c r="B49" s="172" t="s">
        <v>310</v>
      </c>
      <c r="C49" s="173"/>
      <c r="D49" s="174"/>
      <c r="X49" t="str">
        <f>CONCATENATE(TRUNC(Y49,2), ",  (", TRUNC(Z49,2), " , ", TRUNC(AA49,2), "), ", S49)</f>
        <v xml:space="preserve">11.5,  (5 , 15), </v>
      </c>
      <c r="Y49">
        <f>MEDIAN(AG49:BF49)</f>
        <v>11.5</v>
      </c>
      <c r="Z49">
        <f>_xlfn.PERCENTILE.INC(AG49:BF49, 0.25)</f>
        <v>5</v>
      </c>
      <c r="AA49">
        <f>_xlfn.PERCENTILE.INC(AG49:BF49, 0.75)</f>
        <v>15.005000000000001</v>
      </c>
      <c r="AB49" t="e">
        <f>CONCATENATE(TRUNC(AC49,2), ",  (", TRUNC(AD49,2), " , ", TRUNC(AE49,2), "), ", U49)</f>
        <v>#NUM!</v>
      </c>
      <c r="AC49" t="e">
        <f>MEDIAN(BK49:CI49)</f>
        <v>#NUM!</v>
      </c>
      <c r="AD49" t="e">
        <f>_xlfn.PERCENTILE.INC(BK49:CI49, 0.25)</f>
        <v>#NUM!</v>
      </c>
      <c r="AE49" t="e">
        <f>_xlfn.PERCENTILE.INC(BK49:CI49, 0.75)</f>
        <v>#NUM!</v>
      </c>
      <c r="AF49" s="48" t="s">
        <v>503</v>
      </c>
      <c r="AG49" t="s">
        <v>162</v>
      </c>
      <c r="AH49" t="s">
        <v>162</v>
      </c>
      <c r="AI49" s="1">
        <v>17.510000000000002</v>
      </c>
      <c r="AJ49" s="1">
        <v>18.5</v>
      </c>
      <c r="AK49" s="162" t="s">
        <v>162</v>
      </c>
      <c r="AL49" s="59" t="s">
        <v>162</v>
      </c>
      <c r="AM49" t="s">
        <v>162</v>
      </c>
      <c r="AN49" s="162" t="s">
        <v>162</v>
      </c>
      <c r="AO49" t="s">
        <v>162</v>
      </c>
      <c r="AP49" s="59" t="s">
        <v>162</v>
      </c>
      <c r="AQ49" s="1">
        <v>6.49</v>
      </c>
      <c r="AR49" t="s">
        <v>162</v>
      </c>
      <c r="AS49" s="1">
        <v>11.5</v>
      </c>
      <c r="AT49" t="s">
        <v>162</v>
      </c>
      <c r="AU49" t="s">
        <v>162</v>
      </c>
      <c r="AV49" t="s">
        <v>162</v>
      </c>
      <c r="AW49" s="162" t="s">
        <v>162</v>
      </c>
      <c r="AX49" t="s">
        <v>162</v>
      </c>
      <c r="AY49" t="s">
        <v>162</v>
      </c>
      <c r="AZ49">
        <v>-3.51</v>
      </c>
      <c r="BA49" s="58" t="s">
        <v>162</v>
      </c>
      <c r="BB49">
        <v>12.5</v>
      </c>
      <c r="BC49">
        <v>3.51</v>
      </c>
      <c r="BJ49" s="48" t="s">
        <v>503</v>
      </c>
    </row>
    <row r="50" spans="2:81" ht="29.4" thickBot="1" x14ac:dyDescent="0.35">
      <c r="M50" s="28" t="s">
        <v>317</v>
      </c>
      <c r="N50" s="28" t="s">
        <v>320</v>
      </c>
      <c r="AF50" s="50" t="s">
        <v>41</v>
      </c>
      <c r="BJ50" s="50" t="s">
        <v>41</v>
      </c>
    </row>
    <row r="51" spans="2:81" x14ac:dyDescent="0.3">
      <c r="B51" s="75"/>
      <c r="C51" s="46" t="s">
        <v>7</v>
      </c>
      <c r="D51" s="46"/>
      <c r="E51" s="46" t="s">
        <v>0</v>
      </c>
      <c r="F51" s="46"/>
      <c r="G51" s="46"/>
      <c r="H51" s="46"/>
      <c r="I51" s="90"/>
      <c r="X51" t="e">
        <f>CONCATENATE(TRUNC(Y51,2), ",  (", TRUNC(Z51,2), " , ", TRUNC(AA51,2), "), ", S51)</f>
        <v>#NUM!</v>
      </c>
      <c r="Y51" t="e">
        <f>MEDIAN(AG51:BF51)</f>
        <v>#NUM!</v>
      </c>
      <c r="Z51" t="e">
        <f>_xlfn.PERCENTILE.INC(AG51:BF51, 0.25)</f>
        <v>#NUM!</v>
      </c>
      <c r="AA51" t="e">
        <f>_xlfn.PERCENTILE.INC(AG51:BF51, 0.75)</f>
        <v>#NUM!</v>
      </c>
      <c r="AB51" t="e">
        <f>CONCATENATE(TRUNC(AC51,2), ",  (", TRUNC(AD51,2), " , ", TRUNC(AE51,2), "), ", U51)</f>
        <v>#NUM!</v>
      </c>
      <c r="AC51" t="e">
        <f>MEDIAN(BK51:CI51)</f>
        <v>#NUM!</v>
      </c>
      <c r="AD51" t="e">
        <f>_xlfn.PERCENTILE.INC(BK51:CI51, 0.25)</f>
        <v>#NUM!</v>
      </c>
      <c r="AE51" t="e">
        <f>_xlfn.PERCENTILE.INC(BK51:CI51, 0.75)</f>
        <v>#NUM!</v>
      </c>
      <c r="AF51" s="48" t="s">
        <v>503</v>
      </c>
      <c r="BJ51" s="48" t="s">
        <v>503</v>
      </c>
    </row>
    <row r="52" spans="2:81" ht="29.4" thickBot="1" x14ac:dyDescent="0.35">
      <c r="B52" s="84"/>
      <c r="C52" s="3" t="s">
        <v>281</v>
      </c>
      <c r="D52" s="8" t="s">
        <v>308</v>
      </c>
      <c r="E52" s="3" t="s">
        <v>281</v>
      </c>
      <c r="F52" s="3"/>
      <c r="G52" s="3"/>
      <c r="H52" s="3"/>
      <c r="I52" s="8" t="s">
        <v>308</v>
      </c>
    </row>
    <row r="53" spans="2:81" x14ac:dyDescent="0.3">
      <c r="B53" s="76" t="s">
        <v>279</v>
      </c>
      <c r="C53" s="10" t="s">
        <v>311</v>
      </c>
      <c r="D53" s="10" t="s">
        <v>309</v>
      </c>
      <c r="E53" s="10" t="s">
        <v>311</v>
      </c>
      <c r="F53" s="10"/>
      <c r="G53" s="10"/>
      <c r="H53" s="10"/>
      <c r="I53" s="10" t="s">
        <v>309</v>
      </c>
      <c r="J53" s="46" t="s">
        <v>315</v>
      </c>
      <c r="K53" s="98"/>
    </row>
    <row r="54" spans="2:81" ht="29.4" thickBot="1" x14ac:dyDescent="0.35">
      <c r="B54" s="51" t="s">
        <v>292</v>
      </c>
      <c r="C54" s="55" t="s">
        <v>339</v>
      </c>
      <c r="D54" s="55" t="s">
        <v>344</v>
      </c>
      <c r="E54" s="55" t="s">
        <v>342</v>
      </c>
      <c r="F54" s="55"/>
      <c r="G54" s="55"/>
      <c r="H54" s="55"/>
      <c r="I54" s="55" t="s">
        <v>343</v>
      </c>
      <c r="J54" s="3" t="s">
        <v>281</v>
      </c>
      <c r="K54" s="91" t="s">
        <v>308</v>
      </c>
      <c r="AF54" s="161" t="s">
        <v>534</v>
      </c>
      <c r="BJ54" s="161" t="s">
        <v>534</v>
      </c>
    </row>
    <row r="55" spans="2:81" x14ac:dyDescent="0.3">
      <c r="J55" s="102" t="s">
        <v>311</v>
      </c>
      <c r="K55" s="103" t="s">
        <v>309</v>
      </c>
      <c r="M55" s="99">
        <v>44629</v>
      </c>
      <c r="Z55" t="s">
        <v>539</v>
      </c>
      <c r="AF55" s="49" t="s">
        <v>74</v>
      </c>
      <c r="BJ55" s="49" t="s">
        <v>74</v>
      </c>
    </row>
    <row r="56" spans="2:81" ht="15" thickBot="1" x14ac:dyDescent="0.35">
      <c r="J56" s="104" t="s">
        <v>340</v>
      </c>
      <c r="K56" s="105" t="s">
        <v>341</v>
      </c>
      <c r="M56" s="99">
        <v>44629</v>
      </c>
      <c r="N56" t="s">
        <v>338</v>
      </c>
      <c r="Z56">
        <f>_xlfn.PERCENTILE.EXC(AG57:BF57, 0.25)</f>
        <v>6.5</v>
      </c>
      <c r="AA56">
        <f>_xlfn.PERCENTILE.EXC(AG57:BF57, 0.75)</f>
        <v>10</v>
      </c>
      <c r="AF56" s="50" t="s">
        <v>38</v>
      </c>
      <c r="BJ56" s="50" t="s">
        <v>38</v>
      </c>
    </row>
    <row r="57" spans="2:81" x14ac:dyDescent="0.3">
      <c r="X57" t="str">
        <f>CONCATENATE(TRUNC(Y57,2), ",  (", TRUNC(Z57,2), " , ", TRUNC(AA57,2), "), ", S57)</f>
        <v xml:space="preserve">8,  (7 , 10), </v>
      </c>
      <c r="Y57">
        <f>MEDIAN(AG57:BF57)</f>
        <v>8</v>
      </c>
      <c r="Z57">
        <f>_xlfn.PERCENTILE.INC(AG57:BF57, 0.25)</f>
        <v>7</v>
      </c>
      <c r="AA57">
        <f>_xlfn.PERCENTILE.INC(AG57:BF57, 0.75)</f>
        <v>10</v>
      </c>
      <c r="AB57" t="str">
        <f>CONCATENATE(TRUNC(AC57,2), ",  (", TRUNC(AD57,2), " , ", TRUNC(AE57,2), "), ", U57)</f>
        <v xml:space="preserve">7,  (5.5 , 8.12), </v>
      </c>
      <c r="AC57">
        <f>MEDIAN(BK57:CI57)</f>
        <v>7</v>
      </c>
      <c r="AD57">
        <f>_xlfn.PERCENTILE.INC(BK57:CI57, 0.25)</f>
        <v>5.5</v>
      </c>
      <c r="AE57">
        <f>_xlfn.PERCENTILE.INC(BK57:CI57, 0.75)</f>
        <v>8.125</v>
      </c>
      <c r="AF57" s="48" t="s">
        <v>537</v>
      </c>
      <c r="AG57" t="s">
        <v>162</v>
      </c>
      <c r="AH57" t="s">
        <v>162</v>
      </c>
      <c r="AI57" t="s">
        <v>162</v>
      </c>
      <c r="AJ57" t="s">
        <v>162</v>
      </c>
      <c r="AK57" t="s">
        <v>162</v>
      </c>
      <c r="AL57">
        <v>6</v>
      </c>
      <c r="AM57">
        <v>10</v>
      </c>
      <c r="AN57" t="s">
        <v>162</v>
      </c>
      <c r="AO57">
        <v>10</v>
      </c>
      <c r="AP57">
        <v>9</v>
      </c>
      <c r="AQ57">
        <v>7.5</v>
      </c>
      <c r="AR57" t="s">
        <v>162</v>
      </c>
      <c r="AS57">
        <v>8</v>
      </c>
      <c r="AT57" t="s">
        <v>162</v>
      </c>
      <c r="AU57" t="s">
        <v>162</v>
      </c>
      <c r="AV57" t="s">
        <v>162</v>
      </c>
      <c r="AW57">
        <v>7</v>
      </c>
      <c r="AX57" t="s">
        <v>162</v>
      </c>
      <c r="AY57" t="s">
        <v>162</v>
      </c>
      <c r="AZ57" t="s">
        <v>162</v>
      </c>
      <c r="BA57">
        <v>6</v>
      </c>
      <c r="BB57" s="27" t="s">
        <v>162</v>
      </c>
      <c r="BC57">
        <v>10</v>
      </c>
      <c r="BJ57" s="48" t="s">
        <v>537</v>
      </c>
      <c r="BK57" t="s">
        <v>162</v>
      </c>
      <c r="BL57" t="s">
        <v>162</v>
      </c>
      <c r="BM57" t="s">
        <v>162</v>
      </c>
      <c r="BN57" t="s">
        <v>162</v>
      </c>
      <c r="BO57" t="s">
        <v>162</v>
      </c>
      <c r="BP57" t="s">
        <v>162</v>
      </c>
      <c r="BQ57" t="s">
        <v>162</v>
      </c>
      <c r="BR57">
        <v>10</v>
      </c>
      <c r="BS57">
        <v>7</v>
      </c>
      <c r="BT57">
        <v>3.5</v>
      </c>
      <c r="BU57">
        <v>8.5</v>
      </c>
      <c r="BV57">
        <v>5</v>
      </c>
      <c r="BW57">
        <v>7</v>
      </c>
      <c r="BX57">
        <v>8.5</v>
      </c>
      <c r="BY57">
        <v>7</v>
      </c>
      <c r="BZ57">
        <v>4</v>
      </c>
      <c r="CA57" t="s">
        <v>162</v>
      </c>
      <c r="CB57" t="s">
        <v>162</v>
      </c>
      <c r="CC57">
        <v>7</v>
      </c>
    </row>
    <row r="58" spans="2:81" x14ac:dyDescent="0.3">
      <c r="B58" t="s">
        <v>312</v>
      </c>
      <c r="AF58" s="50" t="s">
        <v>41</v>
      </c>
      <c r="BJ58" s="50" t="s">
        <v>41</v>
      </c>
    </row>
    <row r="59" spans="2:81" ht="15" thickBot="1" x14ac:dyDescent="0.35">
      <c r="X59" t="str">
        <f>CONCATENATE(TRUNC(Y59,2), ",  (", TRUNC(Z59,2), " , ", TRUNC(AA59,2), "), ", S59)</f>
        <v xml:space="preserve">10,  (8 , 10), </v>
      </c>
      <c r="Y59">
        <f>MEDIAN(AG59:BF59)</f>
        <v>10</v>
      </c>
      <c r="Z59">
        <f>_xlfn.PERCENTILE.INC(AG59:BF59, 0.25)</f>
        <v>8</v>
      </c>
      <c r="AA59">
        <f>_xlfn.PERCENTILE.INC(AG59:BF59, 0.75)</f>
        <v>10</v>
      </c>
      <c r="AB59" t="str">
        <f>CONCATENATE(TRUNC(AC59,2), ",  (", TRUNC(AD59,2), " , ", TRUNC(AE59,2), "), ", U59)</f>
        <v xml:space="preserve">8,  (6 , 10), </v>
      </c>
      <c r="AC59">
        <f>MEDIAN(BK59:CI59)</f>
        <v>8</v>
      </c>
      <c r="AD59">
        <f>_xlfn.PERCENTILE.INC(BK59:CI59, 0.25)</f>
        <v>6</v>
      </c>
      <c r="AE59">
        <f>_xlfn.PERCENTILE.INC(BK59:CI59, 0.75)</f>
        <v>10</v>
      </c>
      <c r="AF59" s="48" t="s">
        <v>538</v>
      </c>
      <c r="AG59" t="s">
        <v>162</v>
      </c>
      <c r="AH59" t="s">
        <v>162</v>
      </c>
      <c r="AI59" t="s">
        <v>162</v>
      </c>
      <c r="AJ59" t="s">
        <v>162</v>
      </c>
      <c r="AK59" t="s">
        <v>162</v>
      </c>
      <c r="AL59">
        <v>10</v>
      </c>
      <c r="AM59">
        <v>10</v>
      </c>
      <c r="AN59" t="s">
        <v>162</v>
      </c>
      <c r="AO59">
        <v>10</v>
      </c>
      <c r="AP59">
        <v>10</v>
      </c>
      <c r="AQ59">
        <v>10</v>
      </c>
      <c r="AR59" t="s">
        <v>162</v>
      </c>
      <c r="AS59">
        <v>6</v>
      </c>
      <c r="AT59" t="s">
        <v>162</v>
      </c>
      <c r="AU59" t="s">
        <v>162</v>
      </c>
      <c r="AV59" t="s">
        <v>162</v>
      </c>
      <c r="AW59">
        <v>8</v>
      </c>
      <c r="AX59" t="s">
        <v>162</v>
      </c>
      <c r="AY59" t="s">
        <v>162</v>
      </c>
      <c r="AZ59" t="s">
        <v>162</v>
      </c>
      <c r="BA59">
        <v>8</v>
      </c>
      <c r="BB59" s="27" t="s">
        <v>162</v>
      </c>
      <c r="BC59">
        <v>8</v>
      </c>
      <c r="BJ59" s="48" t="s">
        <v>538</v>
      </c>
      <c r="BK59" t="s">
        <v>162</v>
      </c>
      <c r="BL59" t="s">
        <v>162</v>
      </c>
      <c r="BM59" t="s">
        <v>162</v>
      </c>
      <c r="BN59" t="s">
        <v>162</v>
      </c>
      <c r="BO59" t="s">
        <v>162</v>
      </c>
      <c r="BP59" t="s">
        <v>162</v>
      </c>
      <c r="BQ59" t="s">
        <v>162</v>
      </c>
      <c r="BR59" t="s">
        <v>162</v>
      </c>
      <c r="BS59">
        <v>6</v>
      </c>
      <c r="BT59">
        <v>6</v>
      </c>
      <c r="BU59">
        <v>10</v>
      </c>
      <c r="BV59">
        <v>10</v>
      </c>
      <c r="BW59">
        <v>9</v>
      </c>
      <c r="BX59">
        <v>7</v>
      </c>
      <c r="BY59">
        <v>10</v>
      </c>
      <c r="BZ59">
        <v>8</v>
      </c>
      <c r="CA59" t="s">
        <v>162</v>
      </c>
      <c r="CB59" t="s">
        <v>162</v>
      </c>
      <c r="CC59">
        <v>4</v>
      </c>
    </row>
    <row r="60" spans="2:81" ht="15" thickBot="1" x14ac:dyDescent="0.35">
      <c r="B60" s="169" t="s">
        <v>314</v>
      </c>
      <c r="C60" s="170"/>
      <c r="D60" s="171"/>
      <c r="BJ60" s="48"/>
    </row>
    <row r="61" spans="2:81" ht="28.8" x14ac:dyDescent="0.3">
      <c r="B61" s="172" t="s">
        <v>41</v>
      </c>
      <c r="C61" s="173"/>
      <c r="D61" s="174"/>
      <c r="M61" s="28" t="s">
        <v>317</v>
      </c>
      <c r="N61" s="28" t="s">
        <v>320</v>
      </c>
    </row>
    <row r="62" spans="2:81" ht="15" thickBot="1" x14ac:dyDescent="0.35"/>
    <row r="63" spans="2:81" x14ac:dyDescent="0.3">
      <c r="B63" s="75"/>
      <c r="C63" s="46" t="s">
        <v>7</v>
      </c>
      <c r="D63" s="46"/>
      <c r="E63" s="46" t="s">
        <v>0</v>
      </c>
      <c r="F63" s="46"/>
      <c r="G63" s="46"/>
      <c r="H63" s="46"/>
      <c r="I63" s="90"/>
    </row>
    <row r="64" spans="2:81" ht="29.4" thickBot="1" x14ac:dyDescent="0.35">
      <c r="B64" s="84"/>
      <c r="C64" s="3" t="s">
        <v>281</v>
      </c>
      <c r="D64" s="8" t="s">
        <v>308</v>
      </c>
      <c r="E64" s="3" t="s">
        <v>281</v>
      </c>
      <c r="F64" s="3"/>
      <c r="G64" s="3"/>
      <c r="H64" s="3"/>
      <c r="I64" s="8" t="s">
        <v>308</v>
      </c>
    </row>
    <row r="65" spans="2:17" x14ac:dyDescent="0.3">
      <c r="B65" s="76" t="s">
        <v>279</v>
      </c>
      <c r="C65" s="10" t="s">
        <v>311</v>
      </c>
      <c r="D65" s="10" t="s">
        <v>309</v>
      </c>
      <c r="E65" s="10" t="s">
        <v>311</v>
      </c>
      <c r="F65" s="10"/>
      <c r="G65" s="10"/>
      <c r="H65" s="10"/>
      <c r="I65" s="10" t="s">
        <v>309</v>
      </c>
      <c r="J65" s="46" t="s">
        <v>315</v>
      </c>
      <c r="K65" s="98"/>
    </row>
    <row r="66" spans="2:17" ht="29.4" thickBot="1" x14ac:dyDescent="0.35">
      <c r="B66" s="51" t="s">
        <v>292</v>
      </c>
      <c r="C66" s="55" t="s">
        <v>345</v>
      </c>
      <c r="D66" s="55" t="s">
        <v>346</v>
      </c>
      <c r="E66" s="55" t="s">
        <v>347</v>
      </c>
      <c r="F66" s="55"/>
      <c r="G66" s="55"/>
      <c r="H66" s="55"/>
      <c r="I66" s="55" t="s">
        <v>348</v>
      </c>
      <c r="J66" s="3" t="s">
        <v>281</v>
      </c>
      <c r="K66" s="91" t="s">
        <v>308</v>
      </c>
    </row>
    <row r="67" spans="2:17" x14ac:dyDescent="0.3">
      <c r="J67" s="102" t="s">
        <v>311</v>
      </c>
      <c r="K67" s="103" t="s">
        <v>309</v>
      </c>
      <c r="M67" s="99">
        <v>44629</v>
      </c>
    </row>
    <row r="68" spans="2:17" ht="15" thickBot="1" x14ac:dyDescent="0.35">
      <c r="J68" s="104" t="s">
        <v>349</v>
      </c>
      <c r="K68" s="105" t="s">
        <v>350</v>
      </c>
      <c r="M68" s="99">
        <v>44629</v>
      </c>
      <c r="N68" t="s">
        <v>338</v>
      </c>
    </row>
    <row r="72" spans="2:17" ht="23.4" x14ac:dyDescent="0.45">
      <c r="B72" s="94" t="s">
        <v>282</v>
      </c>
    </row>
    <row r="74" spans="2:17" ht="15" thickBot="1" x14ac:dyDescent="0.35">
      <c r="B74" t="s">
        <v>42</v>
      </c>
      <c r="C74" s="7">
        <v>44959</v>
      </c>
    </row>
    <row r="75" spans="2:17" x14ac:dyDescent="0.3">
      <c r="B75" s="45" t="s">
        <v>37</v>
      </c>
      <c r="C75" s="46" t="s">
        <v>7</v>
      </c>
      <c r="D75" s="46" t="s">
        <v>0</v>
      </c>
      <c r="E75" s="47" t="s">
        <v>43</v>
      </c>
      <c r="F75" s="74"/>
      <c r="G75" s="74"/>
      <c r="H75" s="74"/>
    </row>
    <row r="76" spans="2:17" x14ac:dyDescent="0.3">
      <c r="B76" s="48"/>
      <c r="C76" s="10"/>
      <c r="D76" s="10"/>
      <c r="E76" s="53"/>
      <c r="F76" s="39"/>
      <c r="G76" s="39"/>
      <c r="H76" s="39"/>
    </row>
    <row r="77" spans="2:17" x14ac:dyDescent="0.3">
      <c r="B77" s="49" t="s">
        <v>74</v>
      </c>
      <c r="C77" s="25"/>
      <c r="D77" s="25"/>
      <c r="E77" s="53"/>
      <c r="F77" s="39"/>
      <c r="G77" s="39"/>
      <c r="H77" s="39"/>
    </row>
    <row r="78" spans="2:17" x14ac:dyDescent="0.3">
      <c r="B78" s="50" t="s">
        <v>38</v>
      </c>
      <c r="C78" s="10"/>
      <c r="D78" s="10"/>
      <c r="E78" s="53"/>
      <c r="F78" s="39"/>
      <c r="G78" s="39"/>
      <c r="H78" s="39"/>
    </row>
    <row r="79" spans="2:17" x14ac:dyDescent="0.3">
      <c r="B79" s="48" t="s">
        <v>39</v>
      </c>
      <c r="C79" s="10" t="str">
        <f>X16</f>
        <v xml:space="preserve">2.03,  (1.31 , 2.44), </v>
      </c>
      <c r="D79" s="10" t="str">
        <f>AB16</f>
        <v xml:space="preserve">3.49,  (3 , 4.41), </v>
      </c>
      <c r="E79" s="53"/>
      <c r="F79" s="39"/>
      <c r="G79" s="39"/>
      <c r="H79" s="39"/>
    </row>
    <row r="80" spans="2:17" x14ac:dyDescent="0.3">
      <c r="B80" s="48" t="s">
        <v>40</v>
      </c>
      <c r="C80" s="10" t="str">
        <f>X17</f>
        <v xml:space="preserve">1.68,  (1.47 , 1.95), </v>
      </c>
      <c r="D80" s="10" t="str">
        <f>AB17</f>
        <v xml:space="preserve">2.23,  (1.36 , 2.77), </v>
      </c>
      <c r="E80" s="53"/>
      <c r="F80" s="39"/>
      <c r="G80" s="39"/>
      <c r="H80" s="39"/>
      <c r="L80" s="39"/>
      <c r="M80" s="39"/>
      <c r="N80" s="39"/>
      <c r="O80" s="39"/>
      <c r="P80" s="39"/>
      <c r="Q80" s="39"/>
    </row>
    <row r="81" spans="2:80" x14ac:dyDescent="0.3">
      <c r="B81" s="50" t="s">
        <v>41</v>
      </c>
      <c r="C81" s="10"/>
      <c r="D81" s="10"/>
      <c r="E81" s="53"/>
      <c r="F81" s="39"/>
      <c r="G81" s="39"/>
      <c r="H81" s="39"/>
      <c r="L81" s="39"/>
      <c r="M81" s="39"/>
      <c r="N81" s="39"/>
      <c r="O81" s="39"/>
      <c r="P81" s="39"/>
      <c r="Q81" s="39"/>
    </row>
    <row r="82" spans="2:80" x14ac:dyDescent="0.3">
      <c r="B82" s="48" t="s">
        <v>39</v>
      </c>
      <c r="C82" s="10" t="str">
        <f>X21</f>
        <v xml:space="preserve">1.88,  (1.69 , 3.26), </v>
      </c>
      <c r="D82" s="10" t="str">
        <f>AB21</f>
        <v xml:space="preserve">1.81,  (1.22 , 2.82), </v>
      </c>
      <c r="E82" s="53"/>
      <c r="F82" s="39"/>
      <c r="G82" s="39"/>
      <c r="H82" s="39"/>
      <c r="L82" s="39"/>
      <c r="M82" s="39"/>
      <c r="N82" s="39"/>
      <c r="O82" s="39"/>
      <c r="P82" s="39"/>
      <c r="Q82" s="39"/>
    </row>
    <row r="83" spans="2:80" x14ac:dyDescent="0.3">
      <c r="B83" s="48" t="s">
        <v>40</v>
      </c>
      <c r="C83" s="10" t="str">
        <f>X22</f>
        <v xml:space="preserve">2.19,  (1.87 , 2.55), </v>
      </c>
      <c r="D83" s="10" t="str">
        <f>AB22</f>
        <v xml:space="preserve">1.35,  (0.82 , 1.53), </v>
      </c>
      <c r="E83" s="53"/>
      <c r="F83" s="39"/>
      <c r="G83" s="39"/>
      <c r="H83" s="39"/>
      <c r="L83" s="39"/>
      <c r="M83" s="39"/>
      <c r="N83" s="39"/>
      <c r="O83" s="39"/>
      <c r="P83" s="39"/>
      <c r="Q83" s="39"/>
    </row>
    <row r="84" spans="2:80" x14ac:dyDescent="0.3">
      <c r="C84" s="39"/>
      <c r="D84" s="39"/>
      <c r="E84" s="39"/>
      <c r="F84" s="39"/>
      <c r="G84" s="39"/>
      <c r="H84" s="39"/>
      <c r="L84" s="39"/>
      <c r="M84" s="39"/>
      <c r="N84" s="39"/>
      <c r="O84" s="39"/>
      <c r="P84" s="39"/>
      <c r="Q84" s="39"/>
    </row>
    <row r="85" spans="2:80" x14ac:dyDescent="0.3">
      <c r="C85" s="39"/>
      <c r="D85" s="39"/>
      <c r="E85" s="39"/>
      <c r="F85" s="39"/>
      <c r="G85" s="39"/>
      <c r="H85" s="39"/>
      <c r="L85" s="39"/>
      <c r="M85" s="39"/>
      <c r="N85" s="39"/>
      <c r="O85" s="39"/>
      <c r="P85" s="39"/>
      <c r="Q85" s="39"/>
    </row>
    <row r="86" spans="2:80" x14ac:dyDescent="0.3">
      <c r="C86" s="39"/>
      <c r="D86" s="39"/>
      <c r="E86" s="39"/>
      <c r="F86" s="39"/>
      <c r="G86" s="39"/>
      <c r="H86" s="39"/>
      <c r="L86" s="39"/>
      <c r="M86" s="39"/>
      <c r="N86" s="39"/>
      <c r="O86" s="39"/>
      <c r="P86" s="39"/>
      <c r="Q86" s="39"/>
    </row>
    <row r="87" spans="2:80" x14ac:dyDescent="0.3">
      <c r="L87" s="39"/>
      <c r="M87" s="39"/>
      <c r="N87" s="39"/>
      <c r="O87" s="39"/>
      <c r="P87" s="39"/>
      <c r="Q87" s="39"/>
    </row>
    <row r="88" spans="2:80" ht="25.8" x14ac:dyDescent="0.5">
      <c r="B88" s="57" t="s">
        <v>175</v>
      </c>
      <c r="L88" s="39"/>
      <c r="M88" s="39"/>
      <c r="N88" s="39"/>
      <c r="O88" s="39"/>
      <c r="P88" s="39"/>
      <c r="Q88" s="39"/>
    </row>
    <row r="89" spans="2:80" x14ac:dyDescent="0.3">
      <c r="B89" t="s">
        <v>42</v>
      </c>
      <c r="C89" s="7">
        <v>44959</v>
      </c>
      <c r="L89" s="39"/>
      <c r="M89" s="39"/>
      <c r="N89" s="39"/>
      <c r="O89" s="39"/>
      <c r="P89" s="39"/>
      <c r="Q89" s="39"/>
    </row>
    <row r="90" spans="2:80" ht="15" thickBot="1" x14ac:dyDescent="0.35">
      <c r="L90" s="39"/>
      <c r="M90" s="39"/>
      <c r="N90" s="39"/>
      <c r="O90" s="39"/>
      <c r="P90" s="39"/>
      <c r="Q90" s="39"/>
    </row>
    <row r="91" spans="2:80" x14ac:dyDescent="0.3">
      <c r="B91" s="45" t="s">
        <v>37</v>
      </c>
      <c r="C91" s="46" t="s">
        <v>7</v>
      </c>
      <c r="D91" s="46" t="s">
        <v>0</v>
      </c>
      <c r="E91" s="47" t="s">
        <v>43</v>
      </c>
      <c r="F91" s="74"/>
      <c r="G91" s="74"/>
      <c r="H91" s="74"/>
      <c r="L91" s="39"/>
      <c r="M91" s="39"/>
      <c r="N91" s="39"/>
      <c r="O91" s="39"/>
      <c r="P91" s="39"/>
      <c r="Q91" s="39"/>
    </row>
    <row r="92" spans="2:80" x14ac:dyDescent="0.3">
      <c r="B92" s="48"/>
      <c r="C92" s="10"/>
      <c r="D92" s="10"/>
      <c r="E92" s="53"/>
      <c r="F92" s="39"/>
      <c r="G92" s="39"/>
      <c r="H92" s="39"/>
      <c r="L92" s="39"/>
      <c r="M92" s="39"/>
      <c r="N92" s="39"/>
      <c r="O92" s="39"/>
      <c r="P92" s="39"/>
      <c r="Q92" s="39"/>
    </row>
    <row r="93" spans="2:80" x14ac:dyDescent="0.3">
      <c r="B93" s="49" t="s">
        <v>74</v>
      </c>
      <c r="C93" s="25"/>
      <c r="D93" s="25"/>
      <c r="E93" s="53"/>
      <c r="F93" s="39"/>
      <c r="G93" s="39"/>
      <c r="H93" s="39"/>
      <c r="AF93" s="1" t="s">
        <v>187</v>
      </c>
      <c r="AG93" t="s">
        <v>188</v>
      </c>
      <c r="AH93" t="s">
        <v>189</v>
      </c>
      <c r="AI93" t="s">
        <v>190</v>
      </c>
      <c r="AJ93" t="s">
        <v>191</v>
      </c>
      <c r="AK93" t="s">
        <v>192</v>
      </c>
      <c r="AL93" t="s">
        <v>193</v>
      </c>
      <c r="AM93" t="s">
        <v>194</v>
      </c>
      <c r="AN93" t="s">
        <v>194</v>
      </c>
      <c r="AO93" t="s">
        <v>195</v>
      </c>
      <c r="AP93" t="s">
        <v>196</v>
      </c>
      <c r="AQ93" t="s">
        <v>197</v>
      </c>
      <c r="AR93" t="s">
        <v>198</v>
      </c>
      <c r="AS93" t="s">
        <v>199</v>
      </c>
      <c r="AT93" t="s">
        <v>200</v>
      </c>
      <c r="AW93" t="s">
        <v>378</v>
      </c>
      <c r="BJ93" s="1" t="s">
        <v>187</v>
      </c>
      <c r="BK93" t="s">
        <v>202</v>
      </c>
      <c r="BL93" t="s">
        <v>198</v>
      </c>
      <c r="BM93" t="s">
        <v>203</v>
      </c>
      <c r="BN93" t="s">
        <v>204</v>
      </c>
      <c r="BO93" t="s">
        <v>205</v>
      </c>
      <c r="BP93" t="s">
        <v>206</v>
      </c>
      <c r="BQ93" t="s">
        <v>207</v>
      </c>
      <c r="BR93" t="s">
        <v>208</v>
      </c>
      <c r="BS93" t="s">
        <v>209</v>
      </c>
      <c r="BT93" t="s">
        <v>210</v>
      </c>
      <c r="BU93" t="s">
        <v>203</v>
      </c>
      <c r="BV93" t="s">
        <v>211</v>
      </c>
      <c r="BW93" t="s">
        <v>212</v>
      </c>
      <c r="BX93" t="s">
        <v>213</v>
      </c>
      <c r="BY93" t="s">
        <v>380</v>
      </c>
      <c r="BZ93" t="s">
        <v>381</v>
      </c>
      <c r="CA93" t="s">
        <v>382</v>
      </c>
      <c r="CB93" t="s">
        <v>383</v>
      </c>
    </row>
    <row r="94" spans="2:80" x14ac:dyDescent="0.3">
      <c r="B94" s="50" t="s">
        <v>38</v>
      </c>
      <c r="C94" s="10"/>
      <c r="D94" s="10"/>
      <c r="E94" s="53"/>
      <c r="F94" s="39"/>
      <c r="G94" s="39"/>
      <c r="H94" s="39"/>
      <c r="AF94" s="1" t="s">
        <v>201</v>
      </c>
      <c r="AG94">
        <f>AG95/12</f>
        <v>12.5</v>
      </c>
      <c r="AH94" t="s">
        <v>162</v>
      </c>
      <c r="AI94">
        <f>AI95/12</f>
        <v>10.5</v>
      </c>
      <c r="AJ94">
        <f>AJ95/12</f>
        <v>10.916666666666666</v>
      </c>
      <c r="AK94">
        <f>AK95/12</f>
        <v>14.833333333333334</v>
      </c>
      <c r="AL94">
        <f>AL95/12</f>
        <v>9.8333333333333339</v>
      </c>
      <c r="AM94" t="s">
        <v>162</v>
      </c>
      <c r="AN94">
        <v>18</v>
      </c>
      <c r="AO94" t="s">
        <v>162</v>
      </c>
      <c r="AP94" t="s">
        <v>162</v>
      </c>
      <c r="AQ94">
        <f>AQ95/12</f>
        <v>10.833333333333334</v>
      </c>
      <c r="AR94" s="27" t="s">
        <v>162</v>
      </c>
      <c r="AS94">
        <f>AS95/12</f>
        <v>14.75</v>
      </c>
      <c r="AT94" s="27" t="s">
        <v>162</v>
      </c>
      <c r="AU94" s="27" t="s">
        <v>162</v>
      </c>
      <c r="AV94" s="27" t="s">
        <v>162</v>
      </c>
      <c r="AW94">
        <f>AW95/12</f>
        <v>12.583333333333334</v>
      </c>
      <c r="BJ94" s="1" t="s">
        <v>201</v>
      </c>
      <c r="BK94">
        <f>BK95/12</f>
        <v>10.583333333333334</v>
      </c>
      <c r="BL94">
        <f>BL95/12</f>
        <v>7.083333333333333</v>
      </c>
      <c r="BM94">
        <f>BM95/12</f>
        <v>7.333333333333333</v>
      </c>
      <c r="BN94" t="s">
        <v>162</v>
      </c>
      <c r="BO94">
        <f t="shared" ref="BO94:CA94" si="3">BO95/12</f>
        <v>11.166666666666666</v>
      </c>
      <c r="BP94">
        <f t="shared" si="3"/>
        <v>9.25</v>
      </c>
      <c r="BQ94">
        <f t="shared" si="3"/>
        <v>9.5</v>
      </c>
      <c r="BR94">
        <f t="shared" si="3"/>
        <v>6.75</v>
      </c>
      <c r="BS94">
        <f t="shared" si="3"/>
        <v>13.416666666666666</v>
      </c>
      <c r="BT94">
        <f t="shared" si="3"/>
        <v>8.6666666666666661</v>
      </c>
      <c r="BU94">
        <f t="shared" si="3"/>
        <v>11.833333333333334</v>
      </c>
      <c r="BV94">
        <f t="shared" si="3"/>
        <v>7.333333333333333</v>
      </c>
      <c r="BW94">
        <f t="shared" si="3"/>
        <v>15</v>
      </c>
      <c r="BX94">
        <f t="shared" si="3"/>
        <v>11.833333333333334</v>
      </c>
      <c r="BY94">
        <f t="shared" si="3"/>
        <v>11.916666666666666</v>
      </c>
      <c r="BZ94">
        <f t="shared" si="3"/>
        <v>15.75</v>
      </c>
      <c r="CA94">
        <f t="shared" si="3"/>
        <v>12.333333333333334</v>
      </c>
      <c r="CB94" t="s">
        <v>162</v>
      </c>
    </row>
    <row r="95" spans="2:80" x14ac:dyDescent="0.3">
      <c r="B95" s="48" t="s">
        <v>39</v>
      </c>
      <c r="C95" s="10" t="str">
        <f>X103</f>
        <v>1.89,  (1.26 , 2.12), 5</v>
      </c>
      <c r="D95" s="10" t="str">
        <f>AB103</f>
        <v>3.1,  (2.46 , 3.52), 5</v>
      </c>
      <c r="E95" s="53"/>
      <c r="F95" s="39"/>
      <c r="G95" s="39"/>
      <c r="H95" s="39"/>
      <c r="AF95" s="1" t="s">
        <v>72</v>
      </c>
      <c r="AG95">
        <v>150</v>
      </c>
      <c r="AH95" t="s">
        <v>162</v>
      </c>
      <c r="AI95">
        <v>126</v>
      </c>
      <c r="AJ95">
        <v>131</v>
      </c>
      <c r="AK95">
        <v>178</v>
      </c>
      <c r="AL95">
        <v>118</v>
      </c>
      <c r="AM95" t="s">
        <v>162</v>
      </c>
      <c r="AN95">
        <v>224</v>
      </c>
      <c r="AO95" t="s">
        <v>162</v>
      </c>
      <c r="AP95" t="s">
        <v>162</v>
      </c>
      <c r="AQ95">
        <v>130</v>
      </c>
      <c r="AR95" s="27" t="s">
        <v>162</v>
      </c>
      <c r="AS95">
        <v>177</v>
      </c>
      <c r="AT95" s="27" t="s">
        <v>162</v>
      </c>
      <c r="AU95" s="27" t="s">
        <v>162</v>
      </c>
      <c r="AV95" s="27" t="s">
        <v>162</v>
      </c>
      <c r="AW95">
        <v>151</v>
      </c>
      <c r="BJ95" s="1" t="s">
        <v>72</v>
      </c>
      <c r="BK95">
        <v>127</v>
      </c>
      <c r="BL95">
        <v>85</v>
      </c>
      <c r="BM95">
        <v>88</v>
      </c>
      <c r="BN95" t="s">
        <v>162</v>
      </c>
      <c r="BO95">
        <v>134</v>
      </c>
      <c r="BP95">
        <v>111</v>
      </c>
      <c r="BQ95" s="27">
        <v>114</v>
      </c>
      <c r="BR95" s="1">
        <v>81</v>
      </c>
      <c r="BS95">
        <v>161</v>
      </c>
      <c r="BT95">
        <v>104</v>
      </c>
      <c r="BU95">
        <v>142</v>
      </c>
      <c r="BV95">
        <v>88</v>
      </c>
      <c r="BW95">
        <v>180</v>
      </c>
      <c r="BX95">
        <v>142</v>
      </c>
      <c r="BY95">
        <v>143</v>
      </c>
      <c r="BZ95">
        <v>189</v>
      </c>
      <c r="CA95">
        <v>148</v>
      </c>
      <c r="CB95" t="s">
        <v>162</v>
      </c>
    </row>
    <row r="96" spans="2:80" ht="43.2" x14ac:dyDescent="0.3">
      <c r="B96" s="48" t="s">
        <v>40</v>
      </c>
      <c r="C96" s="10" t="str">
        <f>X104</f>
        <v>1.76,  (1.37 , 1.85), 4</v>
      </c>
      <c r="D96" s="10" t="str">
        <f>AB104</f>
        <v>2.13,  (0.98 , 2.37), 4</v>
      </c>
      <c r="E96" s="53"/>
      <c r="F96" s="39"/>
      <c r="G96" s="39"/>
      <c r="H96" s="39"/>
      <c r="R96" s="1" t="s">
        <v>183</v>
      </c>
      <c r="S96" s="1" t="s">
        <v>184</v>
      </c>
      <c r="T96" s="1"/>
      <c r="U96" s="1"/>
      <c r="V96" s="1"/>
      <c r="W96" s="1"/>
      <c r="AF96" s="1" t="s">
        <v>387</v>
      </c>
      <c r="AG96" s="119" t="s">
        <v>67</v>
      </c>
      <c r="AH96" s="1" t="s">
        <v>73</v>
      </c>
      <c r="AI96" s="119" t="s">
        <v>68</v>
      </c>
      <c r="AJ96" s="119" t="s">
        <v>63</v>
      </c>
      <c r="AK96" s="29" t="s">
        <v>388</v>
      </c>
      <c r="AL96" s="1" t="s">
        <v>181</v>
      </c>
      <c r="AM96" s="1" t="s">
        <v>73</v>
      </c>
      <c r="AN96" s="64" t="s">
        <v>182</v>
      </c>
      <c r="AO96" s="1" t="s">
        <v>389</v>
      </c>
      <c r="AP96" s="1" t="s">
        <v>181</v>
      </c>
      <c r="AQ96" s="119" t="s">
        <v>69</v>
      </c>
      <c r="AR96" s="1" t="s">
        <v>73</v>
      </c>
      <c r="AS96" s="1" t="s">
        <v>181</v>
      </c>
      <c r="AT96" s="1" t="s">
        <v>73</v>
      </c>
      <c r="AU96" s="1" t="s">
        <v>73</v>
      </c>
      <c r="AV96" s="1" t="s">
        <v>73</v>
      </c>
      <c r="AW96" s="119" t="s">
        <v>258</v>
      </c>
      <c r="AX96" s="1"/>
      <c r="BJ96" s="1" t="s">
        <v>180</v>
      </c>
      <c r="BK96" s="1" t="s">
        <v>54</v>
      </c>
      <c r="BL96" s="65" t="s">
        <v>214</v>
      </c>
      <c r="BM96" s="65" t="s">
        <v>214</v>
      </c>
      <c r="BN96" s="65" t="s">
        <v>214</v>
      </c>
      <c r="BO96" s="1" t="s">
        <v>51</v>
      </c>
      <c r="BP96" s="1" t="s">
        <v>53</v>
      </c>
      <c r="BQ96" s="1" t="s">
        <v>61</v>
      </c>
      <c r="BR96" s="65" t="s">
        <v>214</v>
      </c>
      <c r="BS96" s="65" t="s">
        <v>214</v>
      </c>
      <c r="BT96" s="65" t="s">
        <v>214</v>
      </c>
      <c r="BU96" s="65" t="s">
        <v>214</v>
      </c>
      <c r="BV96" s="65" t="s">
        <v>214</v>
      </c>
      <c r="BW96" s="29" t="s">
        <v>388</v>
      </c>
      <c r="BX96" s="65" t="s">
        <v>214</v>
      </c>
      <c r="BY96" s="1" t="s">
        <v>266</v>
      </c>
      <c r="BZ96" s="65" t="s">
        <v>214</v>
      </c>
      <c r="CA96" s="1"/>
      <c r="CB96" s="1"/>
    </row>
    <row r="97" spans="2:80" ht="28.8" x14ac:dyDescent="0.3">
      <c r="B97" s="50" t="s">
        <v>41</v>
      </c>
      <c r="C97" s="10"/>
      <c r="D97" s="10"/>
      <c r="E97" s="53"/>
      <c r="F97" s="39"/>
      <c r="G97" s="39"/>
      <c r="H97" s="39"/>
      <c r="R97">
        <f>MEDIAN(AG97:AU97)</f>
        <v>-7</v>
      </c>
      <c r="S97">
        <f>AVERAGE(AG97:AU97)</f>
        <v>-1</v>
      </c>
      <c r="AF97" s="1" t="s">
        <v>390</v>
      </c>
      <c r="AG97">
        <f>AG95-BS95</f>
        <v>-11</v>
      </c>
      <c r="AH97" t="s">
        <v>73</v>
      </c>
      <c r="AI97">
        <f>AI95-BT95</f>
        <v>22</v>
      </c>
      <c r="AJ97">
        <f>AJ95-BO95</f>
        <v>-3</v>
      </c>
      <c r="AK97" s="63" t="s">
        <v>162</v>
      </c>
      <c r="AL97" t="s">
        <v>73</v>
      </c>
      <c r="AM97" t="s">
        <v>73</v>
      </c>
      <c r="AO97" t="s">
        <v>73</v>
      </c>
      <c r="AP97" t="s">
        <v>73</v>
      </c>
      <c r="AQ97">
        <f>AQ95-BU95</f>
        <v>-12</v>
      </c>
      <c r="AR97" t="s">
        <v>73</v>
      </c>
      <c r="AS97" t="s">
        <v>73</v>
      </c>
      <c r="AT97" t="s">
        <v>73</v>
      </c>
      <c r="AU97" t="s">
        <v>73</v>
      </c>
      <c r="AV97" t="s">
        <v>73</v>
      </c>
      <c r="AW97">
        <f>AW95-CC95</f>
        <v>151</v>
      </c>
      <c r="BJ97" s="1" t="s">
        <v>185</v>
      </c>
    </row>
    <row r="98" spans="2:80" x14ac:dyDescent="0.3">
      <c r="B98" s="48" t="s">
        <v>39</v>
      </c>
      <c r="C98" s="10" t="str">
        <f t="shared" ref="C98:C99" si="4">X106</f>
        <v>1.74,  (1.41 , 1.88), 1</v>
      </c>
      <c r="D98" s="10" t="str">
        <f t="shared" ref="D98:D99" si="5">AB106</f>
        <v>1.55,  (1.01 , 2.61), 1</v>
      </c>
      <c r="E98" s="53"/>
      <c r="F98" s="39"/>
      <c r="G98" s="39"/>
      <c r="H98" s="39"/>
      <c r="S98" s="38" t="s">
        <v>218</v>
      </c>
      <c r="T98" s="38"/>
      <c r="U98" s="38"/>
      <c r="V98" s="38"/>
      <c r="W98" s="38"/>
      <c r="AF98" s="1" t="s">
        <v>391</v>
      </c>
      <c r="AG98" s="7">
        <v>44949</v>
      </c>
      <c r="AH98" t="s">
        <v>73</v>
      </c>
      <c r="AI98" s="7">
        <v>44949</v>
      </c>
      <c r="AJ98" s="7">
        <v>44949</v>
      </c>
      <c r="AK98" s="7">
        <v>44995</v>
      </c>
      <c r="AL98" t="s">
        <v>73</v>
      </c>
      <c r="AM98" t="s">
        <v>73</v>
      </c>
      <c r="AO98" t="s">
        <v>73</v>
      </c>
      <c r="AP98" t="s">
        <v>73</v>
      </c>
      <c r="AQ98" s="7">
        <v>44949</v>
      </c>
      <c r="AR98" t="s">
        <v>73</v>
      </c>
      <c r="AS98" t="s">
        <v>73</v>
      </c>
      <c r="AT98" t="s">
        <v>73</v>
      </c>
      <c r="AU98" t="s">
        <v>73</v>
      </c>
      <c r="AV98" t="s">
        <v>73</v>
      </c>
      <c r="AW98" s="7">
        <v>44979</v>
      </c>
      <c r="BJ98" s="1" t="s">
        <v>186</v>
      </c>
      <c r="BK98" s="7">
        <v>44949</v>
      </c>
      <c r="BO98" s="7">
        <v>44949</v>
      </c>
      <c r="BP98" s="7">
        <v>44949</v>
      </c>
      <c r="BQ98" s="7">
        <v>44949</v>
      </c>
      <c r="BS98" s="7">
        <v>44949</v>
      </c>
    </row>
    <row r="99" spans="2:80" x14ac:dyDescent="0.3">
      <c r="B99" s="48" t="s">
        <v>40</v>
      </c>
      <c r="C99" s="10" t="str">
        <f t="shared" si="4"/>
        <v>2.03,  (1.95 , 2.11), 1</v>
      </c>
      <c r="D99" s="10" t="str">
        <f t="shared" si="5"/>
        <v>1.47,  (1.08 , 1.61), 1</v>
      </c>
      <c r="E99" s="53"/>
      <c r="F99" s="39"/>
      <c r="G99" s="39"/>
      <c r="H99" s="39"/>
      <c r="S99" t="s">
        <v>219</v>
      </c>
    </row>
    <row r="100" spans="2:80" ht="15" thickBot="1" x14ac:dyDescent="0.35">
      <c r="B100" s="51"/>
      <c r="C100" s="55"/>
      <c r="D100" s="55"/>
      <c r="E100" s="56"/>
      <c r="F100" s="39"/>
      <c r="G100" s="39"/>
      <c r="H100" s="39"/>
      <c r="R100" s="28" t="s">
        <v>178</v>
      </c>
      <c r="S100" t="s">
        <v>215</v>
      </c>
    </row>
    <row r="101" spans="2:80" x14ac:dyDescent="0.3">
      <c r="S101" t="s">
        <v>259</v>
      </c>
      <c r="T101" t="s">
        <v>260</v>
      </c>
      <c r="U101" t="s">
        <v>259</v>
      </c>
      <c r="V101" t="s">
        <v>260</v>
      </c>
      <c r="W101" s="28"/>
      <c r="AF101" s="49" t="s">
        <v>74</v>
      </c>
      <c r="BJ101" s="49" t="s">
        <v>74</v>
      </c>
    </row>
    <row r="102" spans="2:80" x14ac:dyDescent="0.3">
      <c r="AF102" s="50" t="s">
        <v>38</v>
      </c>
      <c r="BJ102" s="50" t="s">
        <v>38</v>
      </c>
    </row>
    <row r="103" spans="2:80" x14ac:dyDescent="0.3">
      <c r="P103" t="s">
        <v>233</v>
      </c>
      <c r="Q103">
        <f>_xlfn.T.TEST(AG103:BF103,BK103:CI103,2,2)</f>
        <v>5.6982132667968484E-2</v>
      </c>
      <c r="R103" t="s">
        <v>171</v>
      </c>
      <c r="S103" s="39">
        <v>5</v>
      </c>
      <c r="T103" s="39">
        <v>10</v>
      </c>
      <c r="U103" s="39">
        <v>5</v>
      </c>
      <c r="V103" s="39">
        <v>9</v>
      </c>
      <c r="W103" s="68"/>
      <c r="X103" t="str">
        <f>CONCATENATE(TRUNC(Y103,2), ",  (", TRUNC(Z103,2), " , ", TRUNC(AA103,2), "), ", S103)</f>
        <v>1.89,  (1.26 , 2.12), 5</v>
      </c>
      <c r="Y103">
        <f>MEDIAN(AG103:BF103)</f>
        <v>1.8963994785513201</v>
      </c>
      <c r="Z103">
        <f>_xlfn.PERCENTILE.INC(AG103:BF103, 0.25)</f>
        <v>1.2682005701616701</v>
      </c>
      <c r="AA103">
        <f>_xlfn.PERCENTILE.INC(AG103:BF103, 0.75)</f>
        <v>2.1215017210032299</v>
      </c>
      <c r="AB103" t="str">
        <f>CONCATENATE(TRUNC(AC103,2), ",  (", TRUNC(AD103,2), " , ", TRUNC(AE103,2), "), ", U103)</f>
        <v>3.1,  (2.46 , 3.52), 5</v>
      </c>
      <c r="AC103">
        <f>MEDIAN(BK103:CI103)</f>
        <v>3.1056485719609048</v>
      </c>
      <c r="AD103">
        <f>_xlfn.PERCENTILE.INC(BK103:CI103, 0.25)</f>
        <v>2.4688287167100578</v>
      </c>
      <c r="AE103">
        <f>_xlfn.PERCENTILE.INC(BK103:CI103, 0.75)</f>
        <v>3.5223585732738627</v>
      </c>
      <c r="AF103" s="48" t="s">
        <v>39</v>
      </c>
      <c r="AG103" s="58">
        <v>2.8195488086367302</v>
      </c>
      <c r="AH103" s="59" t="s">
        <v>162</v>
      </c>
      <c r="AI103" s="58">
        <v>1.0353460761712401</v>
      </c>
      <c r="AJ103" s="60">
        <v>1.2682005701616701</v>
      </c>
      <c r="AK103" s="63" t="s">
        <v>162</v>
      </c>
      <c r="AL103" s="59" t="s">
        <v>162</v>
      </c>
      <c r="AM103" s="58" t="s">
        <v>162</v>
      </c>
      <c r="AN103" s="63" t="s">
        <v>162</v>
      </c>
      <c r="AO103" s="61" t="s">
        <v>162</v>
      </c>
      <c r="AP103" s="61" t="s">
        <v>162</v>
      </c>
      <c r="AQ103">
        <v>1.8963994785513201</v>
      </c>
      <c r="AR103" s="58" t="s">
        <v>162</v>
      </c>
      <c r="AS103" s="61" t="s">
        <v>162</v>
      </c>
      <c r="AT103" s="58" t="s">
        <v>162</v>
      </c>
      <c r="AU103" s="58" t="s">
        <v>162</v>
      </c>
      <c r="AV103" s="58" t="s">
        <v>162</v>
      </c>
      <c r="AW103" s="116">
        <v>2.1215017210032299</v>
      </c>
      <c r="BJ103" s="48" t="s">
        <v>39</v>
      </c>
      <c r="BK103" s="58">
        <v>2.2898171326099801</v>
      </c>
      <c r="BL103" s="62" t="s">
        <v>162</v>
      </c>
      <c r="BM103" s="62" t="s">
        <v>162</v>
      </c>
      <c r="BN103" s="60" t="s">
        <v>162</v>
      </c>
      <c r="BO103" s="58">
        <v>4.0945895135836201</v>
      </c>
      <c r="BP103" s="58">
        <v>1.4709913135435499</v>
      </c>
      <c r="BQ103" s="58">
        <v>3.2054336749115202</v>
      </c>
      <c r="BR103" s="62" t="s">
        <v>162</v>
      </c>
      <c r="BS103" s="62" t="s">
        <v>162</v>
      </c>
      <c r="BT103" s="62" t="s">
        <v>162</v>
      </c>
      <c r="BU103" s="62" t="s">
        <v>162</v>
      </c>
      <c r="BV103" s="62" t="s">
        <v>162</v>
      </c>
      <c r="BW103" s="62" t="s">
        <v>162</v>
      </c>
      <c r="BX103" s="59" t="s">
        <v>162</v>
      </c>
      <c r="BY103" s="116">
        <v>3.6280002060613099</v>
      </c>
      <c r="BZ103" s="62" t="s">
        <v>162</v>
      </c>
      <c r="CA103" s="116">
        <v>3.0058634690102899</v>
      </c>
      <c r="CB103" t="s">
        <v>162</v>
      </c>
    </row>
    <row r="104" spans="2:80" x14ac:dyDescent="0.3">
      <c r="P104" t="s">
        <v>173</v>
      </c>
      <c r="Q104">
        <f>_xlfn.T.TEST(AG104:BF104,BK104:CI104,2,2)</f>
        <v>0.57976122016826048</v>
      </c>
      <c r="R104" t="s">
        <v>171</v>
      </c>
      <c r="S104" s="39">
        <v>4</v>
      </c>
      <c r="T104" s="39">
        <v>10</v>
      </c>
      <c r="U104" s="39">
        <v>4</v>
      </c>
      <c r="V104" s="39">
        <v>9</v>
      </c>
      <c r="W104" s="68"/>
      <c r="X104" t="str">
        <f t="shared" ref="X104:X107" si="6">CONCATENATE(TRUNC(Y104,2), ",  (", TRUNC(Z104,2), " , ", TRUNC(AA104,2), "), ", S104)</f>
        <v>1.76,  (1.37 , 1.85), 4</v>
      </c>
      <c r="Y104">
        <f>MEDIAN(AG104:BF104)</f>
        <v>1.7655404843806799</v>
      </c>
      <c r="Z104">
        <f>_xlfn.PERCENTILE.INC(AG104:BF104, 0.25)</f>
        <v>1.37572067569113</v>
      </c>
      <c r="AA104">
        <f>_xlfn.PERCENTILE.INC(AG104:BF104, 0.75)</f>
        <v>1.85086824941409</v>
      </c>
      <c r="AB104" t="str">
        <f t="shared" ref="AB104:AB107" si="7">CONCATENATE(TRUNC(AC104,2), ",  (", TRUNC(AD104,2), " , ", TRUNC(AE104,2), "), ", U104)</f>
        <v>2.13,  (0.98 , 2.37), 4</v>
      </c>
      <c r="AC104">
        <f>MEDIAN(BK104:CI104)</f>
        <v>2.1313729715246401</v>
      </c>
      <c r="AD104">
        <f>_xlfn.PERCENTILE.INC(BK104:CI104, 0.25)</f>
        <v>0.98223465597004855</v>
      </c>
      <c r="AE104">
        <f>_xlfn.PERCENTILE.INC(BK104:CI104, 0.75)</f>
        <v>2.3755160581467152</v>
      </c>
      <c r="AF104" s="48" t="s">
        <v>40</v>
      </c>
      <c r="AG104" s="58">
        <v>1.92065960521003</v>
      </c>
      <c r="AH104" s="59" t="s">
        <v>162</v>
      </c>
      <c r="AI104" s="58">
        <v>1.85086824941409</v>
      </c>
      <c r="AJ104" s="58">
        <v>1.37572067569113</v>
      </c>
      <c r="AK104" s="59" t="s">
        <v>162</v>
      </c>
      <c r="AL104" s="59" t="s">
        <v>162</v>
      </c>
      <c r="AM104" s="58" t="s">
        <v>162</v>
      </c>
      <c r="AN104" s="61" t="s">
        <v>162</v>
      </c>
      <c r="AO104" s="61" t="s">
        <v>162</v>
      </c>
      <c r="AP104" s="61" t="s">
        <v>162</v>
      </c>
      <c r="AQ104">
        <v>1.7655404843806799</v>
      </c>
      <c r="AR104" s="58" t="s">
        <v>162</v>
      </c>
      <c r="AS104" s="61" t="s">
        <v>162</v>
      </c>
      <c r="AT104" s="58" t="s">
        <v>162</v>
      </c>
      <c r="AU104" s="58" t="s">
        <v>162</v>
      </c>
      <c r="AV104" s="58" t="s">
        <v>162</v>
      </c>
      <c r="AW104" s="116">
        <v>0.96979518498437101</v>
      </c>
      <c r="BJ104" s="48" t="s">
        <v>40</v>
      </c>
      <c r="BK104" s="58">
        <v>1.11700846174386</v>
      </c>
      <c r="BL104" s="62" t="s">
        <v>162</v>
      </c>
      <c r="BM104" s="62" t="s">
        <v>162</v>
      </c>
      <c r="BN104" s="62" t="s">
        <v>162</v>
      </c>
      <c r="BO104" s="58">
        <v>2.2407940760098302</v>
      </c>
      <c r="BP104" s="58">
        <v>2.0313435100000001</v>
      </c>
      <c r="BQ104" s="58">
        <v>2.7796820045573698</v>
      </c>
      <c r="BR104" s="62" t="s">
        <v>162</v>
      </c>
      <c r="BS104" s="62" t="s">
        <v>162</v>
      </c>
      <c r="BT104" s="62" t="s">
        <v>162</v>
      </c>
      <c r="BU104" s="62" t="s">
        <v>162</v>
      </c>
      <c r="BV104" s="62" t="s">
        <v>162</v>
      </c>
      <c r="BW104" s="59" t="s">
        <v>162</v>
      </c>
      <c r="BX104" s="58">
        <v>0.57791323864861399</v>
      </c>
      <c r="BY104" s="116">
        <v>3.2902077967872501</v>
      </c>
      <c r="BZ104" s="116">
        <v>0.53421048616304501</v>
      </c>
      <c r="CA104" s="116">
        <v>2.2314024330492801</v>
      </c>
      <c r="CB104" t="s">
        <v>162</v>
      </c>
    </row>
    <row r="105" spans="2:80" x14ac:dyDescent="0.3">
      <c r="AF105" s="50" t="s">
        <v>41</v>
      </c>
      <c r="AN105" s="63" t="s">
        <v>162</v>
      </c>
      <c r="BJ105" s="50" t="s">
        <v>41</v>
      </c>
    </row>
    <row r="106" spans="2:80" x14ac:dyDescent="0.3">
      <c r="P106" t="s">
        <v>172</v>
      </c>
      <c r="Q106">
        <f>_xlfn.T.TEST(AG106:BF106,BK106:CI106,2,2)</f>
        <v>0.78487548785364369</v>
      </c>
      <c r="R106" t="s">
        <v>171</v>
      </c>
      <c r="S106" s="39">
        <v>1</v>
      </c>
      <c r="T106" s="39">
        <v>7</v>
      </c>
      <c r="U106" s="39">
        <v>1</v>
      </c>
      <c r="V106" s="39">
        <v>3</v>
      </c>
      <c r="W106" s="68"/>
      <c r="X106" t="str">
        <f t="shared" si="6"/>
        <v>1.74,  (1.41 , 1.88), 1</v>
      </c>
      <c r="Y106">
        <f>MEDIAN(AG106:BF106)</f>
        <v>1.7405020880969599</v>
      </c>
      <c r="Z106">
        <f>_xlfn.PERCENTILE.INC(AG106:BF106, 0.25)</f>
        <v>1.4161592237265099</v>
      </c>
      <c r="AA106">
        <f>_xlfn.PERCENTILE.INC(AG106:BF106, 0.75)</f>
        <v>1.8837692386865601</v>
      </c>
      <c r="AB106" t="str">
        <f t="shared" si="7"/>
        <v>1.55,  (1.01 , 2.61), 1</v>
      </c>
      <c r="AC106">
        <f>MEDIAN(BK106:CI106)</f>
        <v>1.55389702055308</v>
      </c>
      <c r="AD106">
        <f>_xlfn.PERCENTILE.INC(BK106:CI106, 0.25)</f>
        <v>1.0148573292651475</v>
      </c>
      <c r="AE106">
        <f>_xlfn.PERCENTILE.INC(BK106:CI106, 0.75)</f>
        <v>2.617188223854765</v>
      </c>
      <c r="AF106" s="48" t="s">
        <v>39</v>
      </c>
      <c r="AG106" t="s">
        <v>162</v>
      </c>
      <c r="AH106" t="s">
        <v>162</v>
      </c>
      <c r="AI106" t="s">
        <v>162</v>
      </c>
      <c r="AJ106" t="s">
        <v>162</v>
      </c>
      <c r="AK106" s="59" t="s">
        <v>162</v>
      </c>
      <c r="AL106" s="58">
        <v>1.4161592237265099</v>
      </c>
      <c r="AM106" s="58" t="s">
        <v>162</v>
      </c>
      <c r="AN106" s="58">
        <v>1.7405020880969599</v>
      </c>
      <c r="AO106" s="59" t="s">
        <v>162</v>
      </c>
      <c r="AP106" s="59" t="s">
        <v>162</v>
      </c>
      <c r="AQ106" s="58">
        <v>1.40354475865929</v>
      </c>
      <c r="AR106" s="58" t="s">
        <v>162</v>
      </c>
      <c r="AS106" s="58">
        <v>1.8837692386865601</v>
      </c>
      <c r="AT106" s="58" t="s">
        <v>162</v>
      </c>
      <c r="AU106" s="58" t="s">
        <v>162</v>
      </c>
      <c r="AV106" s="58" t="s">
        <v>162</v>
      </c>
      <c r="AW106" s="116">
        <v>2.2784577091748002</v>
      </c>
      <c r="BJ106" s="48" t="s">
        <v>39</v>
      </c>
      <c r="BK106" t="s">
        <v>162</v>
      </c>
      <c r="BL106" t="s">
        <v>162</v>
      </c>
      <c r="BM106" t="s">
        <v>162</v>
      </c>
      <c r="BN106" t="s">
        <v>162</v>
      </c>
      <c r="BO106" t="s">
        <v>162</v>
      </c>
      <c r="BP106" t="s">
        <v>162</v>
      </c>
      <c r="BQ106" t="s">
        <v>162</v>
      </c>
      <c r="BR106" t="s">
        <v>162</v>
      </c>
      <c r="BS106" s="58">
        <v>0.89316309394488103</v>
      </c>
      <c r="BT106" s="116">
        <v>2.72033210885757</v>
      </c>
      <c r="BU106" s="58">
        <v>2.51404433885196</v>
      </c>
      <c r="BV106" s="58">
        <v>3.4387836114208898</v>
      </c>
      <c r="BW106" s="59" t="s">
        <v>162</v>
      </c>
      <c r="BX106" s="58">
        <v>0.90489098867090501</v>
      </c>
      <c r="BY106" s="59" t="s">
        <v>162</v>
      </c>
      <c r="BZ106" s="116">
        <v>1.1248236698593901</v>
      </c>
      <c r="CA106" s="116">
        <v>1.55389702055308</v>
      </c>
      <c r="CB106" t="s">
        <v>162</v>
      </c>
    </row>
    <row r="107" spans="2:80" x14ac:dyDescent="0.3">
      <c r="P107" t="s">
        <v>172</v>
      </c>
      <c r="Q107">
        <f>_xlfn.T.TEST(AG107:BF107,BK107:CI107,2,2)</f>
        <v>0.24753485956738353</v>
      </c>
      <c r="R107" t="s">
        <v>171</v>
      </c>
      <c r="S107" s="39">
        <v>1</v>
      </c>
      <c r="T107" s="39">
        <v>7</v>
      </c>
      <c r="U107" s="39">
        <v>1</v>
      </c>
      <c r="V107" s="39">
        <v>3</v>
      </c>
      <c r="W107" s="68"/>
      <c r="X107" t="str">
        <f t="shared" si="6"/>
        <v>2.03,  (1.95 , 2.11), 1</v>
      </c>
      <c r="Y107">
        <f>MEDIAN(AG107:BF107)</f>
        <v>2.03522409276863</v>
      </c>
      <c r="Z107">
        <f>_xlfn.PERCENTILE.INC(AG107:BF107, 0.25)</f>
        <v>1.9550138213741151</v>
      </c>
      <c r="AA107">
        <f>_xlfn.PERCENTILE.INC(AG107:BF107, 0.75)</f>
        <v>2.115434364163145</v>
      </c>
      <c r="AB107" t="str">
        <f t="shared" si="7"/>
        <v>1.47,  (1.08 , 1.61), 1</v>
      </c>
      <c r="AC107">
        <f>MEDIAN(BK107:CI107)</f>
        <v>1.47958805400294</v>
      </c>
      <c r="AD107">
        <f>_xlfn.PERCENTILE.INC(BK107:CI107, 0.25)</f>
        <v>1.0890118619621401</v>
      </c>
      <c r="AE107">
        <f>_xlfn.PERCENTILE.INC(BK107:CI107, 0.75)</f>
        <v>1.619084691901935</v>
      </c>
      <c r="AF107" s="48" t="s">
        <v>40</v>
      </c>
      <c r="AG107" t="s">
        <v>162</v>
      </c>
      <c r="AH107" t="s">
        <v>162</v>
      </c>
      <c r="AI107" t="s">
        <v>162</v>
      </c>
      <c r="AJ107" t="s">
        <v>162</v>
      </c>
      <c r="AK107" s="59" t="s">
        <v>162</v>
      </c>
      <c r="AL107" s="59" t="s">
        <v>162</v>
      </c>
      <c r="AM107" s="58" t="s">
        <v>162</v>
      </c>
      <c r="AN107" s="61" t="s">
        <v>162</v>
      </c>
      <c r="AO107" s="59" t="s">
        <v>162</v>
      </c>
      <c r="AP107" s="59" t="s">
        <v>162</v>
      </c>
      <c r="AQ107" s="58">
        <v>1.8748035499796001</v>
      </c>
      <c r="AR107" s="58" t="s">
        <v>162</v>
      </c>
      <c r="AS107" s="61" t="s">
        <v>162</v>
      </c>
      <c r="AT107" s="58" t="s">
        <v>162</v>
      </c>
      <c r="AU107" s="58" t="s">
        <v>162</v>
      </c>
      <c r="AV107" s="58" t="s">
        <v>162</v>
      </c>
      <c r="AW107" s="116">
        <v>2.19564463555766</v>
      </c>
      <c r="BJ107" s="48" t="s">
        <v>40</v>
      </c>
      <c r="BK107" t="s">
        <v>162</v>
      </c>
      <c r="BL107" t="s">
        <v>162</v>
      </c>
      <c r="BM107" t="s">
        <v>162</v>
      </c>
      <c r="BN107" t="s">
        <v>162</v>
      </c>
      <c r="BO107" t="s">
        <v>162</v>
      </c>
      <c r="BP107" t="s">
        <v>162</v>
      </c>
      <c r="BQ107" t="s">
        <v>162</v>
      </c>
      <c r="BR107" t="s">
        <v>162</v>
      </c>
      <c r="BS107" s="58">
        <v>0.52535944249941502</v>
      </c>
      <c r="BT107" s="116">
        <v>1.35482418737221</v>
      </c>
      <c r="BU107" s="58">
        <v>1.70075307373037</v>
      </c>
      <c r="BV107" s="58">
        <v>2.5404880981468598</v>
      </c>
      <c r="BW107" s="62" t="s">
        <v>162</v>
      </c>
      <c r="BX107" s="58">
        <v>1.47958805400294</v>
      </c>
      <c r="BY107" s="58">
        <v>0.82319953655207001</v>
      </c>
      <c r="BZ107" s="59" t="s">
        <v>162</v>
      </c>
      <c r="CA107" s="116">
        <v>1.5374163100735001</v>
      </c>
      <c r="CB107" t="s">
        <v>162</v>
      </c>
    </row>
    <row r="108" spans="2:80" x14ac:dyDescent="0.3">
      <c r="AQ108" t="s">
        <v>231</v>
      </c>
    </row>
  </sheetData>
  <mergeCells count="8">
    <mergeCell ref="B60:D60"/>
    <mergeCell ref="B61:D61"/>
    <mergeCell ref="C15:D15"/>
    <mergeCell ref="E15:F15"/>
    <mergeCell ref="C25:D25"/>
    <mergeCell ref="E25:F25"/>
    <mergeCell ref="B48:D48"/>
    <mergeCell ref="B49:D49"/>
  </mergeCells>
  <pageMargins left="0.7" right="0.7" top="0.75" bottom="0.75" header="0.3" footer="0.3"/>
  <pageSetup scale="10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62769-8035-4A7E-83A9-5BB465FA4A0E}">
  <sheetPr>
    <pageSetUpPr fitToPage="1"/>
  </sheetPr>
  <dimension ref="B1:CM108"/>
  <sheetViews>
    <sheetView zoomScale="85" zoomScaleNormal="85" workbookViewId="0">
      <pane xSplit="2" ySplit="7" topLeftCell="C11" activePane="bottomRight" state="frozen"/>
      <selection pane="topRight" activeCell="B1" sqref="B1"/>
      <selection pane="bottomLeft" activeCell="H30" sqref="H30"/>
      <selection pane="bottomRight" activeCell="B23" sqref="B23"/>
    </sheetView>
  </sheetViews>
  <sheetFormatPr defaultRowHeight="14.4" x14ac:dyDescent="0.3"/>
  <cols>
    <col min="1" max="1" width="5.44140625" customWidth="1"/>
    <col min="2" max="2" width="25.5546875" customWidth="1"/>
    <col min="3" max="3" width="20.88671875" customWidth="1"/>
    <col min="4" max="4" width="22.44140625" customWidth="1"/>
    <col min="5" max="8" width="22.6640625" customWidth="1"/>
    <col min="9" max="9" width="22.44140625" customWidth="1"/>
    <col min="10" max="11" width="22.6640625" customWidth="1"/>
    <col min="12" max="12" width="12.6640625" customWidth="1"/>
    <col min="13" max="13" width="18.6640625" customWidth="1"/>
    <col min="14" max="14" width="12.6640625" customWidth="1"/>
    <col min="15" max="15" width="27.6640625" customWidth="1"/>
    <col min="16" max="17" width="12.6640625" customWidth="1"/>
    <col min="18" max="18" width="32.88671875" customWidth="1"/>
    <col min="19" max="23" width="12.6640625" customWidth="1"/>
    <col min="24" max="24" width="26" customWidth="1"/>
    <col min="25" max="27" width="12.6640625" customWidth="1"/>
    <col min="28" max="28" width="26.109375" customWidth="1"/>
    <col min="29" max="31" width="12.6640625" customWidth="1"/>
    <col min="32" max="32" width="28.33203125" customWidth="1"/>
    <col min="33" max="61" width="12.6640625" customWidth="1"/>
    <col min="62" max="62" width="23.109375" customWidth="1"/>
    <col min="63" max="90" width="12.6640625" customWidth="1"/>
  </cols>
  <sheetData>
    <row r="1" spans="2:91" x14ac:dyDescent="0.3">
      <c r="B1" t="s">
        <v>42</v>
      </c>
      <c r="L1" s="11" t="s">
        <v>47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2"/>
      <c r="Z1" s="12"/>
      <c r="AA1" s="12"/>
      <c r="AB1" s="12"/>
      <c r="AC1" s="12"/>
      <c r="AD1" s="12"/>
      <c r="AE1" s="12"/>
      <c r="AG1" s="13" t="s">
        <v>48</v>
      </c>
      <c r="AH1" s="13"/>
      <c r="AI1" s="13"/>
      <c r="AJ1" s="13"/>
    </row>
    <row r="2" spans="2:91" x14ac:dyDescent="0.3">
      <c r="B2" s="99">
        <v>45054</v>
      </c>
      <c r="C2" t="s">
        <v>496</v>
      </c>
      <c r="X2" s="123"/>
      <c r="Y2" s="124" t="s">
        <v>404</v>
      </c>
      <c r="Z2" s="123"/>
      <c r="AA2" s="123"/>
    </row>
    <row r="3" spans="2:91" ht="28.8" x14ac:dyDescent="0.3">
      <c r="C3" t="s">
        <v>497</v>
      </c>
      <c r="X3" s="28" t="s">
        <v>158</v>
      </c>
      <c r="Y3" s="28" t="s">
        <v>147</v>
      </c>
      <c r="Z3" s="28" t="s">
        <v>156</v>
      </c>
      <c r="AA3" s="28" t="s">
        <v>157</v>
      </c>
      <c r="AG3" s="14"/>
      <c r="AH3" s="15" t="s">
        <v>49</v>
      </c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J3" s="16"/>
      <c r="BK3" s="17"/>
      <c r="BL3" s="17"/>
      <c r="BM3" s="17"/>
      <c r="BN3" s="17"/>
      <c r="BO3" s="18" t="s">
        <v>50</v>
      </c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</row>
    <row r="4" spans="2:91" x14ac:dyDescent="0.3">
      <c r="X4" t="str">
        <f>CONCATENATE(TRUNC(Y4,2), ",  (", TRUNC(Z4,2), " , ", TRUNC(AA4,2), "), ", S4)</f>
        <v xml:space="preserve">10.91,  (9.25 , 12.58), </v>
      </c>
      <c r="Y4">
        <f>MEDIAN(AG9:CC9)</f>
        <v>10.916666666666666</v>
      </c>
      <c r="Z4">
        <f>_xlfn.PERCENTILE.INC(AG9:CC9, 0.25)</f>
        <v>9.25</v>
      </c>
      <c r="AA4">
        <f>_xlfn.PERCENTILE.INC(AG9:CC9, 0.75)</f>
        <v>12.583333333333334</v>
      </c>
      <c r="BJ4" s="16"/>
    </row>
    <row r="5" spans="2:91" ht="43.2" x14ac:dyDescent="0.3">
      <c r="I5" s="1"/>
      <c r="J5" s="1"/>
      <c r="AF5" s="1" t="s">
        <v>96</v>
      </c>
      <c r="AG5" s="1" t="s">
        <v>51</v>
      </c>
      <c r="AH5" s="1" t="s">
        <v>52</v>
      </c>
      <c r="AI5" s="1" t="s">
        <v>53</v>
      </c>
      <c r="AJ5" s="1" t="s">
        <v>54</v>
      </c>
      <c r="AK5" s="1" t="s">
        <v>55</v>
      </c>
      <c r="AL5" s="1" t="s">
        <v>56</v>
      </c>
      <c r="AM5" s="1" t="s">
        <v>97</v>
      </c>
      <c r="AN5" s="29" t="s">
        <v>98</v>
      </c>
      <c r="AO5" s="29" t="s">
        <v>99</v>
      </c>
      <c r="AP5" s="29" t="s">
        <v>100</v>
      </c>
      <c r="AQ5" s="29" t="s">
        <v>101</v>
      </c>
      <c r="AR5" s="29" t="s">
        <v>102</v>
      </c>
      <c r="AS5" s="29" t="s">
        <v>103</v>
      </c>
      <c r="AT5" s="29" t="s">
        <v>104</v>
      </c>
      <c r="AU5" s="1" t="s">
        <v>105</v>
      </c>
      <c r="AV5" s="1" t="s">
        <v>106</v>
      </c>
      <c r="AW5" s="1" t="s">
        <v>266</v>
      </c>
      <c r="AX5" s="121" t="s">
        <v>394</v>
      </c>
      <c r="AY5" s="121" t="s">
        <v>395</v>
      </c>
      <c r="AZ5" s="36" t="s">
        <v>396</v>
      </c>
      <c r="BA5" s="1" t="s">
        <v>111</v>
      </c>
      <c r="BB5" s="1" t="s">
        <v>112</v>
      </c>
      <c r="BC5" s="1" t="s">
        <v>113</v>
      </c>
      <c r="BD5" s="1" t="s">
        <v>114</v>
      </c>
      <c r="BE5" s="1" t="s">
        <v>115</v>
      </c>
      <c r="BF5" s="1" t="s">
        <v>116</v>
      </c>
      <c r="BG5" s="1"/>
      <c r="BI5" s="30" t="s">
        <v>117</v>
      </c>
      <c r="BJ5" s="16"/>
      <c r="BS5" s="29" t="s">
        <v>118</v>
      </c>
      <c r="BT5" s="31" t="s">
        <v>119</v>
      </c>
      <c r="BU5" s="31" t="s">
        <v>120</v>
      </c>
      <c r="BV5" s="31" t="s">
        <v>121</v>
      </c>
      <c r="BW5" s="32" t="s">
        <v>122</v>
      </c>
      <c r="BX5" s="32" t="s">
        <v>123</v>
      </c>
      <c r="BY5" s="33" t="s">
        <v>124</v>
      </c>
      <c r="BZ5" s="33" t="s">
        <v>125</v>
      </c>
      <c r="CA5" s="31" t="s">
        <v>268</v>
      </c>
      <c r="CB5" s="92" t="s">
        <v>269</v>
      </c>
      <c r="CC5" s="31" t="s">
        <v>398</v>
      </c>
      <c r="CD5" s="33" t="s">
        <v>129</v>
      </c>
      <c r="CE5" s="33" t="s">
        <v>130</v>
      </c>
      <c r="CF5" s="33" t="s">
        <v>131</v>
      </c>
      <c r="CG5" s="33" t="s">
        <v>132</v>
      </c>
      <c r="CH5" s="33" t="s">
        <v>133</v>
      </c>
      <c r="CI5" s="33" t="s">
        <v>134</v>
      </c>
    </row>
    <row r="6" spans="2:91" ht="43.2" x14ac:dyDescent="0.3">
      <c r="P6" s="38" t="s">
        <v>163</v>
      </c>
      <c r="AF6" t="s">
        <v>135</v>
      </c>
      <c r="AG6" s="1"/>
      <c r="AH6" s="1"/>
      <c r="AI6" s="1"/>
      <c r="AJ6" s="1"/>
      <c r="AK6" s="29" t="s">
        <v>402</v>
      </c>
      <c r="AL6" s="29" t="s">
        <v>402</v>
      </c>
      <c r="AM6" s="1"/>
      <c r="AN6" s="29" t="s">
        <v>402</v>
      </c>
      <c r="AO6" s="29" t="s">
        <v>402</v>
      </c>
      <c r="AP6" s="29" t="s">
        <v>402</v>
      </c>
      <c r="AQ6" s="29"/>
      <c r="AR6" s="29"/>
      <c r="AS6" s="29"/>
      <c r="AT6" s="29"/>
      <c r="AW6" s="122" t="s">
        <v>403</v>
      </c>
      <c r="BI6">
        <v>12</v>
      </c>
      <c r="BJ6" s="16"/>
      <c r="BS6" s="29" t="s">
        <v>402</v>
      </c>
      <c r="BU6" s="29" t="s">
        <v>402</v>
      </c>
      <c r="BW6" s="29" t="s">
        <v>402</v>
      </c>
      <c r="BX6" s="29" t="s">
        <v>402</v>
      </c>
      <c r="CC6" s="29" t="s">
        <v>402</v>
      </c>
    </row>
    <row r="7" spans="2:91" s="24" customFormat="1" ht="28.8" x14ac:dyDescent="0.3">
      <c r="H7" s="28" t="s">
        <v>317</v>
      </c>
      <c r="I7" s="28" t="s">
        <v>320</v>
      </c>
      <c r="L7" s="28" t="s">
        <v>158</v>
      </c>
      <c r="M7" s="1" t="s">
        <v>240</v>
      </c>
      <c r="N7" t="s">
        <v>241</v>
      </c>
      <c r="O7" t="s">
        <v>8</v>
      </c>
      <c r="P7" s="28" t="s">
        <v>158</v>
      </c>
      <c r="Q7" t="s">
        <v>43</v>
      </c>
      <c r="R7" t="s">
        <v>164</v>
      </c>
      <c r="S7" s="15" t="s">
        <v>49</v>
      </c>
      <c r="T7" s="15"/>
      <c r="U7" s="18" t="s">
        <v>50</v>
      </c>
      <c r="V7" s="18"/>
      <c r="W7"/>
      <c r="X7" s="14"/>
      <c r="Y7" s="15" t="s">
        <v>49</v>
      </c>
      <c r="Z7" s="14"/>
      <c r="AA7" s="14"/>
      <c r="AB7" s="17"/>
      <c r="AC7" s="18" t="s">
        <v>50</v>
      </c>
      <c r="AD7" s="17"/>
      <c r="AE7" s="17"/>
      <c r="AF7" s="1" t="s">
        <v>377</v>
      </c>
      <c r="AG7" s="19" t="s">
        <v>51</v>
      </c>
      <c r="AH7" s="20" t="s">
        <v>52</v>
      </c>
      <c r="AI7" s="19" t="s">
        <v>53</v>
      </c>
      <c r="AJ7" s="19" t="s">
        <v>54</v>
      </c>
      <c r="AK7" s="35" t="s">
        <v>55</v>
      </c>
      <c r="AL7" s="35" t="s">
        <v>56</v>
      </c>
      <c r="AM7" s="20" t="s">
        <v>57</v>
      </c>
      <c r="AN7" s="35" t="s">
        <v>58</v>
      </c>
      <c r="AO7" s="20" t="s">
        <v>59</v>
      </c>
      <c r="AP7" s="35" t="s">
        <v>60</v>
      </c>
      <c r="AQ7" s="19" t="s">
        <v>61</v>
      </c>
      <c r="AR7" t="s">
        <v>143</v>
      </c>
      <c r="AS7" s="19" t="s">
        <v>62</v>
      </c>
      <c r="AT7" t="s">
        <v>143</v>
      </c>
      <c r="AU7" s="34" t="s">
        <v>105</v>
      </c>
      <c r="AV7" s="34" t="s">
        <v>106</v>
      </c>
      <c r="AW7" s="19" t="s">
        <v>266</v>
      </c>
      <c r="AX7" s="121" t="s">
        <v>394</v>
      </c>
      <c r="AY7" s="121" t="s">
        <v>395</v>
      </c>
      <c r="AZ7" s="36" t="s">
        <v>396</v>
      </c>
      <c r="BA7" s="1"/>
      <c r="BB7" s="1"/>
      <c r="BC7" s="1"/>
      <c r="BD7" s="1"/>
      <c r="BE7" s="1"/>
      <c r="BF7" s="1"/>
      <c r="BG7"/>
      <c r="BH7" s="1"/>
      <c r="BI7" s="1"/>
      <c r="BJ7" s="21"/>
      <c r="BK7" s="19" t="s">
        <v>63</v>
      </c>
      <c r="BL7" s="19" t="s">
        <v>64</v>
      </c>
      <c r="BM7" s="36" t="s">
        <v>65</v>
      </c>
      <c r="BN7" s="22" t="s">
        <v>66</v>
      </c>
      <c r="BO7" s="19" t="s">
        <v>67</v>
      </c>
      <c r="BP7" s="36" t="s">
        <v>68</v>
      </c>
      <c r="BQ7" s="19" t="s">
        <v>69</v>
      </c>
      <c r="BR7" s="19" t="s">
        <v>70</v>
      </c>
      <c r="BS7" s="19" t="s">
        <v>71</v>
      </c>
      <c r="BT7" s="31" t="s">
        <v>119</v>
      </c>
      <c r="BU7" s="31" t="s">
        <v>120</v>
      </c>
      <c r="BV7" s="31" t="s">
        <v>121</v>
      </c>
      <c r="BW7" s="32" t="s">
        <v>122</v>
      </c>
      <c r="BX7" s="32" t="s">
        <v>123</v>
      </c>
      <c r="BY7" s="31" t="s">
        <v>258</v>
      </c>
      <c r="BZ7" s="31" t="s">
        <v>267</v>
      </c>
      <c r="CA7" s="31" t="s">
        <v>268</v>
      </c>
      <c r="CB7" s="92" t="s">
        <v>269</v>
      </c>
      <c r="CC7" s="31" t="s">
        <v>398</v>
      </c>
      <c r="CD7" s="33" t="s">
        <v>129</v>
      </c>
      <c r="CE7" s="33" t="s">
        <v>130</v>
      </c>
      <c r="CF7" s="33" t="s">
        <v>131</v>
      </c>
      <c r="CG7" s="33" t="s">
        <v>132</v>
      </c>
      <c r="CH7" s="33" t="s">
        <v>133</v>
      </c>
      <c r="CI7" s="33" t="s">
        <v>134</v>
      </c>
      <c r="CJ7"/>
      <c r="CK7"/>
      <c r="CL7"/>
      <c r="CM7"/>
    </row>
    <row r="8" spans="2:91" ht="31.2" x14ac:dyDescent="0.5">
      <c r="E8" s="94"/>
      <c r="F8" s="73"/>
      <c r="G8" s="73"/>
      <c r="H8" s="73"/>
      <c r="X8" s="28" t="s">
        <v>158</v>
      </c>
      <c r="Y8" s="28" t="s">
        <v>147</v>
      </c>
      <c r="Z8" s="28" t="s">
        <v>156</v>
      </c>
      <c r="AA8" s="28" t="s">
        <v>157</v>
      </c>
      <c r="AB8" s="28" t="s">
        <v>158</v>
      </c>
      <c r="AC8" s="28" t="s">
        <v>147</v>
      </c>
      <c r="AD8" s="28" t="s">
        <v>156</v>
      </c>
      <c r="AE8" s="28" t="s">
        <v>157</v>
      </c>
      <c r="AF8" s="1" t="s">
        <v>187</v>
      </c>
      <c r="AG8" t="s">
        <v>188</v>
      </c>
      <c r="AH8" t="s">
        <v>189</v>
      </c>
      <c r="AI8" t="s">
        <v>190</v>
      </c>
      <c r="AJ8" t="s">
        <v>191</v>
      </c>
      <c r="AK8" t="s">
        <v>192</v>
      </c>
      <c r="AL8" t="s">
        <v>193</v>
      </c>
      <c r="AM8" t="s">
        <v>194</v>
      </c>
      <c r="AN8" t="s">
        <v>194</v>
      </c>
      <c r="AO8" t="s">
        <v>195</v>
      </c>
      <c r="AP8" t="s">
        <v>196</v>
      </c>
      <c r="AQ8" t="s">
        <v>197</v>
      </c>
      <c r="AR8" t="s">
        <v>198</v>
      </c>
      <c r="AS8" t="s">
        <v>199</v>
      </c>
      <c r="AT8" t="s">
        <v>200</v>
      </c>
      <c r="AW8" t="s">
        <v>378</v>
      </c>
      <c r="AZ8" t="s">
        <v>405</v>
      </c>
      <c r="BK8" t="s">
        <v>202</v>
      </c>
      <c r="BL8" t="s">
        <v>198</v>
      </c>
      <c r="BM8" t="s">
        <v>203</v>
      </c>
      <c r="BN8" t="s">
        <v>204</v>
      </c>
      <c r="BO8" t="s">
        <v>205</v>
      </c>
      <c r="BP8" t="s">
        <v>206</v>
      </c>
      <c r="BQ8" t="s">
        <v>207</v>
      </c>
      <c r="BR8" t="s">
        <v>208</v>
      </c>
      <c r="BS8" t="s">
        <v>209</v>
      </c>
      <c r="BT8" t="s">
        <v>210</v>
      </c>
      <c r="BU8" t="s">
        <v>379</v>
      </c>
      <c r="BV8" t="s">
        <v>203</v>
      </c>
      <c r="BW8" t="s">
        <v>213</v>
      </c>
      <c r="BX8" t="s">
        <v>211</v>
      </c>
      <c r="BY8" t="s">
        <v>380</v>
      </c>
      <c r="BZ8" t="s">
        <v>381</v>
      </c>
      <c r="CA8" t="s">
        <v>382</v>
      </c>
      <c r="CB8" t="s">
        <v>383</v>
      </c>
      <c r="CC8" t="s">
        <v>406</v>
      </c>
    </row>
    <row r="9" spans="2:91" ht="23.4" x14ac:dyDescent="0.45">
      <c r="B9" t="s">
        <v>316</v>
      </c>
      <c r="C9" s="7">
        <f>B2</f>
        <v>45054</v>
      </c>
      <c r="E9" s="94" t="s">
        <v>315</v>
      </c>
      <c r="X9" t="str">
        <f>CONCATENATE(TRUNC(Y9,2), ",  (", TRUNC(Z9,2), " , ", TRUNC(AA9,2), "), ", S9)</f>
        <v xml:space="preserve">11.7,  (10.58 , 14.2), </v>
      </c>
      <c r="Y9">
        <f>MEDIAN(AG9:BF9)</f>
        <v>11.708333333333332</v>
      </c>
      <c r="Z9">
        <f>_xlfn.PERCENTILE.INC(AG9:BF9, 0.25)</f>
        <v>10.583333333333334</v>
      </c>
      <c r="AA9">
        <f>_xlfn.PERCENTILE.INC(AG9:BF9, 0.75)</f>
        <v>14.208333333333334</v>
      </c>
      <c r="AB9" t="str">
        <f>CONCATENATE(TRUNC(AC9,2), ",  (", TRUNC(AD9,2), " , ", TRUNC(AE9,2), "), ", U9)</f>
        <v xml:space="preserve">10.58,  (8.2 , 12.12), </v>
      </c>
      <c r="AC9">
        <f>MEDIAN(BK9:CI9)</f>
        <v>10.583333333333334</v>
      </c>
      <c r="AD9">
        <f>_xlfn.PERCENTILE.INC(BK9:CI9, 0.25)</f>
        <v>8.2083333333333321</v>
      </c>
      <c r="AE9">
        <f>_xlfn.PERCENTILE.INC(BK9:CI9, 0.75)</f>
        <v>12.125</v>
      </c>
      <c r="AF9" s="1" t="s">
        <v>201</v>
      </c>
      <c r="AG9">
        <f>AG10/12</f>
        <v>12.5</v>
      </c>
      <c r="AH9" t="s">
        <v>162</v>
      </c>
      <c r="AI9">
        <f>AI10/12</f>
        <v>10.5</v>
      </c>
      <c r="AJ9">
        <f>AJ10/12</f>
        <v>10.916666666666666</v>
      </c>
      <c r="AK9">
        <f>AK10/12</f>
        <v>14.833333333333334</v>
      </c>
      <c r="AL9">
        <f>AL10/12</f>
        <v>9.8333333333333339</v>
      </c>
      <c r="AM9" t="s">
        <v>162</v>
      </c>
      <c r="AN9">
        <v>18</v>
      </c>
      <c r="AO9" t="s">
        <v>162</v>
      </c>
      <c r="AP9" t="s">
        <v>162</v>
      </c>
      <c r="AQ9">
        <f>AQ10/12</f>
        <v>10.833333333333334</v>
      </c>
      <c r="AR9" s="27" t="s">
        <v>162</v>
      </c>
      <c r="AS9">
        <f>AS10/12</f>
        <v>14.75</v>
      </c>
      <c r="AT9" s="27" t="s">
        <v>162</v>
      </c>
      <c r="AU9" s="27" t="s">
        <v>162</v>
      </c>
      <c r="AV9" s="27" t="s">
        <v>162</v>
      </c>
      <c r="AW9">
        <f>AW10/12</f>
        <v>12.583333333333334</v>
      </c>
      <c r="AX9" s="27" t="s">
        <v>162</v>
      </c>
      <c r="AY9" s="27" t="s">
        <v>162</v>
      </c>
      <c r="AZ9">
        <f>AZ10/12</f>
        <v>9.5833333333333339</v>
      </c>
      <c r="BK9" s="89">
        <f t="shared" ref="BK9:CC9" si="0">BK10/12</f>
        <v>10.583333333333334</v>
      </c>
      <c r="BL9" s="89">
        <f t="shared" si="0"/>
        <v>7.083333333333333</v>
      </c>
      <c r="BM9" s="89">
        <f t="shared" si="0"/>
        <v>7.333333333333333</v>
      </c>
      <c r="BN9" s="89">
        <f t="shared" si="0"/>
        <v>7.75</v>
      </c>
      <c r="BO9" s="89">
        <f t="shared" si="0"/>
        <v>11.166666666666666</v>
      </c>
      <c r="BP9" s="89">
        <f t="shared" si="0"/>
        <v>9.25</v>
      </c>
      <c r="BQ9" s="89">
        <f t="shared" si="0"/>
        <v>9.5</v>
      </c>
      <c r="BR9" s="89">
        <f t="shared" si="0"/>
        <v>6.75</v>
      </c>
      <c r="BS9" s="89">
        <f t="shared" si="0"/>
        <v>13.416666666666666</v>
      </c>
      <c r="BT9" s="89">
        <f t="shared" si="0"/>
        <v>8.6666666666666661</v>
      </c>
      <c r="BU9" s="89">
        <f t="shared" si="0"/>
        <v>11.833333333333334</v>
      </c>
      <c r="BV9" s="89">
        <f t="shared" si="0"/>
        <v>7.333333333333333</v>
      </c>
      <c r="BW9" s="89">
        <f t="shared" si="0"/>
        <v>15</v>
      </c>
      <c r="BX9" s="89">
        <f t="shared" si="0"/>
        <v>11.833333333333334</v>
      </c>
      <c r="BY9" s="89">
        <f t="shared" si="0"/>
        <v>11.916666666666666</v>
      </c>
      <c r="BZ9" s="89">
        <f t="shared" si="0"/>
        <v>15.75</v>
      </c>
      <c r="CA9" s="89">
        <f t="shared" si="0"/>
        <v>12.333333333333334</v>
      </c>
      <c r="CB9" s="89">
        <f t="shared" si="0"/>
        <v>9.0833333333333339</v>
      </c>
      <c r="CC9" s="89">
        <f t="shared" si="0"/>
        <v>18.166666666666668</v>
      </c>
    </row>
    <row r="10" spans="2:91" ht="23.4" x14ac:dyDescent="0.45">
      <c r="C10" s="7"/>
      <c r="E10" s="94"/>
      <c r="AF10" s="1" t="s">
        <v>72</v>
      </c>
      <c r="AG10">
        <v>150</v>
      </c>
      <c r="AH10" t="s">
        <v>162</v>
      </c>
      <c r="AI10">
        <v>126</v>
      </c>
      <c r="AJ10">
        <v>131</v>
      </c>
      <c r="AK10">
        <v>178</v>
      </c>
      <c r="AL10">
        <v>118</v>
      </c>
      <c r="AM10" t="s">
        <v>162</v>
      </c>
      <c r="AN10">
        <v>224</v>
      </c>
      <c r="AO10" t="s">
        <v>162</v>
      </c>
      <c r="AP10" t="s">
        <v>162</v>
      </c>
      <c r="AQ10">
        <v>130</v>
      </c>
      <c r="AR10" s="27" t="s">
        <v>162</v>
      </c>
      <c r="AS10">
        <v>177</v>
      </c>
      <c r="AT10" s="27" t="s">
        <v>162</v>
      </c>
      <c r="AU10" s="27" t="s">
        <v>162</v>
      </c>
      <c r="AV10" s="27" t="s">
        <v>162</v>
      </c>
      <c r="AW10">
        <v>151</v>
      </c>
      <c r="AX10" s="27" t="s">
        <v>162</v>
      </c>
      <c r="AY10" s="27" t="s">
        <v>162</v>
      </c>
      <c r="AZ10">
        <v>115</v>
      </c>
      <c r="BK10">
        <v>127</v>
      </c>
      <c r="BL10">
        <v>85</v>
      </c>
      <c r="BM10">
        <v>88</v>
      </c>
      <c r="BN10">
        <v>93</v>
      </c>
      <c r="BO10">
        <v>134</v>
      </c>
      <c r="BP10">
        <v>111</v>
      </c>
      <c r="BQ10" s="27">
        <v>114</v>
      </c>
      <c r="BR10" s="1">
        <v>81</v>
      </c>
      <c r="BS10">
        <v>161</v>
      </c>
      <c r="BT10">
        <v>104</v>
      </c>
      <c r="BU10">
        <v>142</v>
      </c>
      <c r="BV10">
        <v>88</v>
      </c>
      <c r="BW10">
        <v>180</v>
      </c>
      <c r="BX10">
        <v>142</v>
      </c>
      <c r="BY10">
        <v>143</v>
      </c>
      <c r="BZ10">
        <v>189</v>
      </c>
      <c r="CA10">
        <v>148</v>
      </c>
      <c r="CB10">
        <v>109</v>
      </c>
      <c r="CC10">
        <v>218</v>
      </c>
    </row>
    <row r="11" spans="2:91" x14ac:dyDescent="0.3">
      <c r="S11" s="38" t="s">
        <v>218</v>
      </c>
      <c r="T11" s="38"/>
      <c r="U11" s="38"/>
      <c r="V11" s="38"/>
      <c r="W11" s="38"/>
      <c r="X11" s="28"/>
      <c r="Y11" s="28"/>
      <c r="Z11" s="28"/>
      <c r="AA11" s="28"/>
      <c r="AB11" s="28"/>
      <c r="AC11" s="28"/>
      <c r="AD11" s="28"/>
      <c r="AE11" s="28"/>
      <c r="AG11" s="28" t="s">
        <v>178</v>
      </c>
      <c r="AH11" t="s">
        <v>215</v>
      </c>
      <c r="BK11" s="28" t="s">
        <v>178</v>
      </c>
      <c r="BL11" t="s">
        <v>215</v>
      </c>
    </row>
    <row r="12" spans="2:91" ht="23.4" x14ac:dyDescent="0.45">
      <c r="B12" t="s">
        <v>355</v>
      </c>
      <c r="D12" s="94" t="s">
        <v>315</v>
      </c>
      <c r="S12" t="s">
        <v>219</v>
      </c>
      <c r="X12" t="s">
        <v>220</v>
      </c>
      <c r="AG12" t="s">
        <v>177</v>
      </c>
      <c r="AH12" t="s">
        <v>400</v>
      </c>
      <c r="AK12" t="s">
        <v>401</v>
      </c>
      <c r="BK12" t="s">
        <v>177</v>
      </c>
      <c r="BL12" t="s">
        <v>400</v>
      </c>
      <c r="BO12" t="s">
        <v>401</v>
      </c>
    </row>
    <row r="13" spans="2:91" x14ac:dyDescent="0.3">
      <c r="R13" s="28" t="s">
        <v>178</v>
      </c>
      <c r="S13" t="s">
        <v>215</v>
      </c>
      <c r="X13" t="s">
        <v>220</v>
      </c>
    </row>
    <row r="14" spans="2:91" ht="15" thickBot="1" x14ac:dyDescent="0.35">
      <c r="S14" t="s">
        <v>259</v>
      </c>
      <c r="T14" t="s">
        <v>260</v>
      </c>
      <c r="U14" t="s">
        <v>259</v>
      </c>
      <c r="V14" t="s">
        <v>260</v>
      </c>
      <c r="W14" s="28"/>
      <c r="AF14" s="49" t="s">
        <v>74</v>
      </c>
      <c r="BJ14" s="49" t="s">
        <v>74</v>
      </c>
    </row>
    <row r="15" spans="2:91" x14ac:dyDescent="0.3">
      <c r="B15" s="75"/>
      <c r="C15" s="181" t="s">
        <v>310</v>
      </c>
      <c r="D15" s="182"/>
      <c r="E15" s="173" t="s">
        <v>41</v>
      </c>
      <c r="F15" s="174"/>
      <c r="AF15" s="50" t="s">
        <v>38</v>
      </c>
      <c r="BJ15" s="50" t="s">
        <v>38</v>
      </c>
    </row>
    <row r="16" spans="2:91" x14ac:dyDescent="0.3">
      <c r="B16" s="84"/>
      <c r="C16" s="127" t="s">
        <v>447</v>
      </c>
      <c r="D16" s="128" t="s">
        <v>308</v>
      </c>
      <c r="E16" s="127" t="s">
        <v>447</v>
      </c>
      <c r="F16" s="129" t="s">
        <v>308</v>
      </c>
      <c r="O16" t="s">
        <v>261</v>
      </c>
      <c r="P16" t="s">
        <v>217</v>
      </c>
      <c r="Q16">
        <f>_xlfn.T.TEST(AG16:BF16,BK16:CI16,2,2)</f>
        <v>5.3387304117533348E-2</v>
      </c>
      <c r="R16" t="s">
        <v>171</v>
      </c>
      <c r="S16" s="39"/>
      <c r="T16" s="39"/>
      <c r="U16" s="39"/>
      <c r="V16" s="39"/>
      <c r="W16" s="68"/>
      <c r="X16" t="str">
        <f>CONCATENATE(TRUNC(Y16,2), ",  (", TRUNC(Z16,2), " , ", TRUNC(AA16,2), "), ", S16)</f>
        <v xml:space="preserve">2.12,  (1.46 , 2.67), </v>
      </c>
      <c r="Y16">
        <f>MEDIAN(AG16:BF16)</f>
        <v>2.1215017210032299</v>
      </c>
      <c r="Z16">
        <f>_xlfn.PERCENTILE.INC(AG16:BF16, 0.25)</f>
        <v>1.4686184359230401</v>
      </c>
      <c r="AA16">
        <f>_xlfn.PERCENTILE.INC(AG16:BF16, 0.75)</f>
        <v>2.6795098282827001</v>
      </c>
      <c r="AB16" t="str">
        <f>CONCATENATE(TRUNC(AC16,2), ",  (", TRUNC(AD16,2), " , ", TRUNC(AE16,2), "), ", U16)</f>
        <v xml:space="preserve">3.49,  (2.44 , 4.25), </v>
      </c>
      <c r="AC16">
        <f>MEDIAN(BK16:CI16)</f>
        <v>3.4916171583665299</v>
      </c>
      <c r="AD16">
        <f>_xlfn.PERCENTILE.INC(BK16:CI16, 0.25)</f>
        <v>2.4467902497762397</v>
      </c>
      <c r="AE16">
        <f>_xlfn.PERCENTILE.INC(BK16:CI16, 0.75)</f>
        <v>4.2569056602261099</v>
      </c>
      <c r="AF16" s="48" t="s">
        <v>39</v>
      </c>
      <c r="AG16" s="115">
        <v>2.8195488086367302</v>
      </c>
      <c r="AH16" s="59" t="s">
        <v>162</v>
      </c>
      <c r="AI16" s="58">
        <v>1.0353460761712401</v>
      </c>
      <c r="AJ16" s="115">
        <v>1.2682005701616701</v>
      </c>
      <c r="AK16" s="58">
        <v>1.4686184359230401</v>
      </c>
      <c r="AL16" s="59" t="s">
        <v>162</v>
      </c>
      <c r="AM16" s="58" t="s">
        <v>162</v>
      </c>
      <c r="AN16" s="118">
        <v>3.8057337647892302</v>
      </c>
      <c r="AO16" s="61" t="s">
        <v>162</v>
      </c>
      <c r="AP16" s="61" t="s">
        <v>162</v>
      </c>
      <c r="AQ16" s="118">
        <v>2.6795098282827001</v>
      </c>
      <c r="AR16" s="58" t="s">
        <v>162</v>
      </c>
      <c r="AS16" s="116">
        <v>1.6176853996633</v>
      </c>
      <c r="AT16" s="58" t="s">
        <v>162</v>
      </c>
      <c r="AU16" s="58" t="s">
        <v>162</v>
      </c>
      <c r="AV16" s="58" t="s">
        <v>162</v>
      </c>
      <c r="AW16" s="116">
        <v>2.1215017210032299</v>
      </c>
      <c r="AX16" s="58" t="s">
        <v>162</v>
      </c>
      <c r="AY16" s="58" t="s">
        <v>162</v>
      </c>
      <c r="AZ16" s="116">
        <v>2.4873505125023598</v>
      </c>
      <c r="BJ16" s="48" t="s">
        <v>39</v>
      </c>
      <c r="BK16" s="116">
        <v>5.1297123146644399</v>
      </c>
      <c r="BL16" s="116">
        <v>4.4192218068685998</v>
      </c>
      <c r="BM16" s="116">
        <v>3.6718641321435501</v>
      </c>
      <c r="BN16" s="59" t="s">
        <v>162</v>
      </c>
      <c r="BO16" s="58">
        <v>4.0945895135836201</v>
      </c>
      <c r="BP16" s="59" t="s">
        <v>162</v>
      </c>
      <c r="BQ16" s="58">
        <v>3.2054336749115202</v>
      </c>
      <c r="BR16" s="58">
        <v>3.0185355998543599</v>
      </c>
      <c r="BS16" s="116">
        <v>5.3625568256932699</v>
      </c>
      <c r="BT16" s="58">
        <v>4.4483988255018403</v>
      </c>
      <c r="BU16" s="58">
        <v>1.88771703054219</v>
      </c>
      <c r="BV16" s="58">
        <v>3.4916171583665299</v>
      </c>
      <c r="BW16" s="117">
        <v>0.76755829073625303</v>
      </c>
      <c r="BX16" s="59" t="s">
        <v>162</v>
      </c>
      <c r="BY16" s="116">
        <v>3.6280002060613099</v>
      </c>
      <c r="BZ16" s="118">
        <v>0.73074071147375796</v>
      </c>
      <c r="CA16" s="116">
        <v>3.0058634690102899</v>
      </c>
      <c r="CB16" t="s">
        <v>162</v>
      </c>
      <c r="CC16" s="116">
        <v>1.65598435061114</v>
      </c>
    </row>
    <row r="17" spans="2:81" ht="15" customHeight="1" x14ac:dyDescent="0.3">
      <c r="B17" s="76" t="s">
        <v>3</v>
      </c>
      <c r="C17" s="141" t="s">
        <v>492</v>
      </c>
      <c r="D17" s="142" t="s">
        <v>493</v>
      </c>
      <c r="E17" s="143" t="s">
        <v>494</v>
      </c>
      <c r="F17" s="144" t="s">
        <v>495</v>
      </c>
      <c r="H17" s="99">
        <v>45054</v>
      </c>
      <c r="I17" t="s">
        <v>480</v>
      </c>
      <c r="P17" t="s">
        <v>173</v>
      </c>
      <c r="Q17">
        <f>_xlfn.T.TEST(AG17:BF17,BK17:CI17,2,2)</f>
        <v>0.5207724927058508</v>
      </c>
      <c r="R17" t="s">
        <v>171</v>
      </c>
      <c r="S17" s="39"/>
      <c r="T17" s="39"/>
      <c r="U17" s="39"/>
      <c r="V17" s="39"/>
      <c r="W17" s="68"/>
      <c r="X17" t="str">
        <f t="shared" ref="X17:X22" si="1">CONCATENATE(TRUNC(Y17,2), ",  (", TRUNC(Z17,2), " , ", TRUNC(AA17,2), "), ", S17)</f>
        <v xml:space="preserve">1.83,  (1.37 , 2.04), </v>
      </c>
      <c r="Y17">
        <f>MEDIAN(AG17:BF17)</f>
        <v>1.83544884571052</v>
      </c>
      <c r="Z17">
        <f>_xlfn.PERCENTILE.INC(AG17:BF17, 0.25)</f>
        <v>1.3774451289752625</v>
      </c>
      <c r="AA17">
        <f>_xlfn.PERCENTILE.INC(AG17:BF17, 0.75)</f>
        <v>2.0418857486299848</v>
      </c>
      <c r="AB17" t="str">
        <f t="shared" ref="AB17:AB22" si="2">CONCATENATE(TRUNC(AC17,2), ",  (", TRUNC(AD17,2), " , ", TRUNC(AE17,2), "), ", U17)</f>
        <v xml:space="preserve">2.23,  (1.19 , 2.82), </v>
      </c>
      <c r="AC17">
        <f>MEDIAN(BK17:CI17)</f>
        <v>2.2360982545295549</v>
      </c>
      <c r="AD17">
        <f>_xlfn.PERCENTILE.INC(BK17:CI17, 0.25)</f>
        <v>1.199102093745041</v>
      </c>
      <c r="AE17">
        <f>_xlfn.PERCENTILE.INC(BK17:CI17, 0.75)</f>
        <v>2.8206099028200025</v>
      </c>
      <c r="AF17" s="48" t="s">
        <v>40</v>
      </c>
      <c r="AG17" s="58">
        <v>1.92065960521003</v>
      </c>
      <c r="AH17" s="59" t="s">
        <v>162</v>
      </c>
      <c r="AI17" s="58">
        <v>1.85086824941409</v>
      </c>
      <c r="AJ17" s="58">
        <v>1.37572067569113</v>
      </c>
      <c r="AK17" s="59" t="s">
        <v>162</v>
      </c>
      <c r="AL17" s="59" t="s">
        <v>162</v>
      </c>
      <c r="AM17" s="58" t="s">
        <v>162</v>
      </c>
      <c r="AN17" s="118">
        <v>1.82002944200695</v>
      </c>
      <c r="AO17" s="61" t="s">
        <v>162</v>
      </c>
      <c r="AP17" s="61" t="s">
        <v>162</v>
      </c>
      <c r="AQ17" s="118">
        <v>2.5623985222914101</v>
      </c>
      <c r="AR17" s="58" t="s">
        <v>162</v>
      </c>
      <c r="AS17" s="116">
        <v>1.3780199467366401</v>
      </c>
      <c r="AT17" s="58" t="s">
        <v>162</v>
      </c>
      <c r="AU17" s="58" t="s">
        <v>162</v>
      </c>
      <c r="AV17" s="58" t="s">
        <v>162</v>
      </c>
      <c r="AW17" s="116">
        <v>0.96979518498437101</v>
      </c>
      <c r="AX17" s="58" t="s">
        <v>162</v>
      </c>
      <c r="AY17" s="58" t="s">
        <v>162</v>
      </c>
      <c r="AZ17" s="116">
        <v>2.4055641788898501</v>
      </c>
      <c r="BJ17" s="48" t="s">
        <v>40</v>
      </c>
      <c r="BK17" s="116">
        <v>3.91432551509758</v>
      </c>
      <c r="BL17" s="116">
        <v>2.7326792152584201</v>
      </c>
      <c r="BM17" s="116">
        <v>3.2540952669888901</v>
      </c>
      <c r="BN17" s="62" t="s">
        <v>162</v>
      </c>
      <c r="BO17" s="58">
        <v>2.2407940760098302</v>
      </c>
      <c r="BP17" s="116">
        <v>1.4673970641015099</v>
      </c>
      <c r="BQ17" s="58">
        <v>2.7796820045573698</v>
      </c>
      <c r="BR17" s="58">
        <v>1.8226959602389401</v>
      </c>
      <c r="BS17" s="116">
        <v>0.80858041220497401</v>
      </c>
      <c r="BT17" s="58">
        <v>2.7424048162087602</v>
      </c>
      <c r="BU17" s="58">
        <v>1.3292759875917299</v>
      </c>
      <c r="BV17" s="58">
        <v>2.9433935976079</v>
      </c>
      <c r="BW17" s="59" t="s">
        <v>162</v>
      </c>
      <c r="BX17" s="58">
        <v>0.57791323864861399</v>
      </c>
      <c r="BY17" s="116">
        <v>3.2902077967872501</v>
      </c>
      <c r="BZ17" s="116">
        <v>0.53421048616304501</v>
      </c>
      <c r="CA17" s="116">
        <v>2.2314024330492801</v>
      </c>
      <c r="CB17" t="s">
        <v>162</v>
      </c>
      <c r="CC17" s="116">
        <v>0.29497136107145</v>
      </c>
    </row>
    <row r="18" spans="2:81" ht="15" customHeight="1" thickBot="1" x14ac:dyDescent="0.35">
      <c r="B18" s="51" t="s">
        <v>292</v>
      </c>
      <c r="C18" s="104" t="s">
        <v>484</v>
      </c>
      <c r="D18" s="112" t="s">
        <v>485</v>
      </c>
      <c r="E18" s="109" t="s">
        <v>488</v>
      </c>
      <c r="F18" s="105" t="s">
        <v>489</v>
      </c>
      <c r="H18" s="99">
        <v>45054</v>
      </c>
      <c r="I18" t="s">
        <v>481</v>
      </c>
      <c r="AF18" s="50" t="s">
        <v>41</v>
      </c>
      <c r="BJ18" s="50" t="s">
        <v>41</v>
      </c>
    </row>
    <row r="19" spans="2:81" x14ac:dyDescent="0.3">
      <c r="C19" s="58"/>
      <c r="D19" s="58"/>
      <c r="E19" s="58"/>
      <c r="F19" s="58"/>
      <c r="AF19" s="50"/>
      <c r="BJ19" s="50"/>
    </row>
    <row r="20" spans="2:81" x14ac:dyDescent="0.3">
      <c r="C20" s="58"/>
      <c r="D20" s="58"/>
      <c r="E20" s="58"/>
      <c r="F20" s="58"/>
      <c r="AF20" s="50"/>
      <c r="BJ20" s="50"/>
    </row>
    <row r="21" spans="2:81" x14ac:dyDescent="0.3">
      <c r="C21" s="58"/>
      <c r="D21" s="58"/>
      <c r="E21" s="58"/>
      <c r="F21" s="58"/>
      <c r="I21" s="1"/>
      <c r="J21" s="1"/>
      <c r="P21" t="s">
        <v>173</v>
      </c>
      <c r="Q21">
        <f>_xlfn.T.TEST(AG21:BF21,BK21:CI21,2,2)</f>
        <v>0.67280420988873368</v>
      </c>
      <c r="R21" t="s">
        <v>171</v>
      </c>
      <c r="S21" s="39"/>
      <c r="T21" s="39"/>
      <c r="U21" s="39"/>
      <c r="V21" s="39"/>
      <c r="W21" s="68"/>
      <c r="X21" t="str">
        <f>CONCATENATE(TRUNC(Y21,2), ",  (", TRUNC(Z21,2), " , ", TRUNC(AA21,2), "), ", S21)</f>
        <v xml:space="preserve">1.81,  (1.49 , 2.17), </v>
      </c>
      <c r="Y21">
        <f>MEDIAN(AG21:BF21)</f>
        <v>1.81213566339176</v>
      </c>
      <c r="Z21">
        <f>_xlfn.PERCENTILE.INC(AG21:BF21, 0.25)</f>
        <v>1.4972449398191223</v>
      </c>
      <c r="AA21">
        <f>_xlfn.PERCENTILE.INC(AG21:BF21, 0.75)</f>
        <v>2.17978559155274</v>
      </c>
      <c r="AB21" t="str">
        <f t="shared" si="2"/>
        <v xml:space="preserve">1.68,  (1.06 , 2.56), </v>
      </c>
      <c r="AC21">
        <f>MEDIAN(BK21:CI21)</f>
        <v>1.6844393104324951</v>
      </c>
      <c r="AD21">
        <f>_xlfn.PERCENTILE.INC(BK21:CI21, 0.25)</f>
        <v>1.0698404995622688</v>
      </c>
      <c r="AE21">
        <f>_xlfn.PERCENTILE.INC(BK21:CI21, 0.75)</f>
        <v>2.5656162813533623</v>
      </c>
      <c r="AF21" s="48" t="s">
        <v>39</v>
      </c>
      <c r="AG21" t="s">
        <v>162</v>
      </c>
      <c r="AH21" t="s">
        <v>162</v>
      </c>
      <c r="AI21" t="s">
        <v>162</v>
      </c>
      <c r="AJ21" t="s">
        <v>162</v>
      </c>
      <c r="AK21" s="59" t="s">
        <v>162</v>
      </c>
      <c r="AL21" s="58">
        <v>1.4161592237265099</v>
      </c>
      <c r="AM21" s="58" t="s">
        <v>162</v>
      </c>
      <c r="AN21" s="118">
        <v>1.7405020880969599</v>
      </c>
      <c r="AO21" s="59" t="s">
        <v>162</v>
      </c>
      <c r="AP21" s="59" t="s">
        <v>162</v>
      </c>
      <c r="AQ21" s="118">
        <v>1.40354475865929</v>
      </c>
      <c r="AR21" s="58" t="s">
        <v>162</v>
      </c>
      <c r="AS21" s="58">
        <v>1.8837692386865601</v>
      </c>
      <c r="AT21" s="58" t="s">
        <v>162</v>
      </c>
      <c r="AU21" s="58" t="s">
        <v>162</v>
      </c>
      <c r="AV21" s="58" t="s">
        <v>162</v>
      </c>
      <c r="AW21" s="116">
        <v>2.2784577091748002</v>
      </c>
      <c r="AX21" s="58" t="s">
        <v>162</v>
      </c>
      <c r="AY21" s="58" t="s">
        <v>162</v>
      </c>
      <c r="AZ21" s="116">
        <v>3.7921899287678702</v>
      </c>
      <c r="BJ21" s="48" t="s">
        <v>39</v>
      </c>
      <c r="BK21" t="s">
        <v>162</v>
      </c>
      <c r="BL21" t="s">
        <v>162</v>
      </c>
      <c r="BM21" t="s">
        <v>162</v>
      </c>
      <c r="BN21" t="s">
        <v>162</v>
      </c>
      <c r="BO21" t="s">
        <v>162</v>
      </c>
      <c r="BP21" t="s">
        <v>162</v>
      </c>
      <c r="BQ21" t="s">
        <v>162</v>
      </c>
      <c r="BR21" t="s">
        <v>162</v>
      </c>
      <c r="BS21" s="58">
        <v>0.89316309394488103</v>
      </c>
      <c r="BT21" s="116">
        <v>2.72033210885757</v>
      </c>
      <c r="BU21" s="58">
        <v>2.51404433885196</v>
      </c>
      <c r="BV21" s="58">
        <v>3.4387836114208898</v>
      </c>
      <c r="BW21" s="59" t="s">
        <v>162</v>
      </c>
      <c r="BX21" s="58">
        <v>0.90489098867090501</v>
      </c>
      <c r="BY21" s="59" t="s">
        <v>162</v>
      </c>
      <c r="BZ21" s="116">
        <v>1.1248236698593901</v>
      </c>
      <c r="CA21" s="116">
        <v>1.55389702055308</v>
      </c>
      <c r="CB21" t="s">
        <v>162</v>
      </c>
      <c r="CC21" s="116">
        <v>1.8149816003119099</v>
      </c>
    </row>
    <row r="22" spans="2:81" x14ac:dyDescent="0.3">
      <c r="B22" t="s">
        <v>354</v>
      </c>
      <c r="C22" s="58"/>
      <c r="D22" s="125" t="s">
        <v>283</v>
      </c>
      <c r="E22" s="58"/>
      <c r="F22" s="58"/>
      <c r="P22" t="s">
        <v>173</v>
      </c>
      <c r="Q22">
        <f>_xlfn.T.TEST(AG22:BF22,BK22:CI22,2,2)</f>
        <v>2.1392268081473195E-2</v>
      </c>
      <c r="R22" t="s">
        <v>171</v>
      </c>
      <c r="S22" s="39"/>
      <c r="T22" s="39"/>
      <c r="U22" s="39"/>
      <c r="V22" s="39"/>
      <c r="W22" s="68"/>
      <c r="X22" t="str">
        <f t="shared" si="1"/>
        <v xml:space="preserve">2.19,  (2.03 , 2.97), </v>
      </c>
      <c r="Y22">
        <f>MEDIAN(AG22:BF22)</f>
        <v>2.19564463555766</v>
      </c>
      <c r="Z22">
        <f>_xlfn.PERCENTILE.INC(AG22:BF22, 0.25)</f>
        <v>2.03522409276863</v>
      </c>
      <c r="AA22">
        <f>_xlfn.PERCENTILE.INC(AG22:BF22, 0.75)</f>
        <v>2.9742236637874848</v>
      </c>
      <c r="AB22" t="str">
        <f t="shared" si="2"/>
        <v xml:space="preserve">1.35,  (0.82 , 1.53), </v>
      </c>
      <c r="AC22">
        <f>MEDIAN(BK22:CI22)</f>
        <v>1.35482418737221</v>
      </c>
      <c r="AD22">
        <f>_xlfn.PERCENTILE.INC(BK22:CI22, 0.25)</f>
        <v>0.82319953655207001</v>
      </c>
      <c r="AE22">
        <f>_xlfn.PERCENTILE.INC(BK22:CI22, 0.75)</f>
        <v>1.5374163100735001</v>
      </c>
      <c r="AF22" s="48" t="s">
        <v>40</v>
      </c>
      <c r="AG22" t="s">
        <v>162</v>
      </c>
      <c r="AH22" t="s">
        <v>162</v>
      </c>
      <c r="AI22" t="s">
        <v>162</v>
      </c>
      <c r="AJ22" t="s">
        <v>162</v>
      </c>
      <c r="AK22" s="59" t="s">
        <v>162</v>
      </c>
      <c r="AL22" s="59" t="s">
        <v>162</v>
      </c>
      <c r="AM22" s="58" t="s">
        <v>162</v>
      </c>
      <c r="AN22" s="61" t="s">
        <v>162</v>
      </c>
      <c r="AO22" s="59" t="s">
        <v>162</v>
      </c>
      <c r="AP22" s="59" t="s">
        <v>162</v>
      </c>
      <c r="AQ22" s="118">
        <v>1.8748035499796001</v>
      </c>
      <c r="AR22" s="58" t="s">
        <v>162</v>
      </c>
      <c r="AS22" s="59" t="s">
        <v>162</v>
      </c>
      <c r="AT22" s="58" t="s">
        <v>162</v>
      </c>
      <c r="AU22" s="58" t="s">
        <v>162</v>
      </c>
      <c r="AV22" s="58" t="s">
        <v>162</v>
      </c>
      <c r="AW22" s="116">
        <v>2.19564463555766</v>
      </c>
      <c r="AX22" s="58" t="s">
        <v>162</v>
      </c>
      <c r="AY22" s="58" t="s">
        <v>162</v>
      </c>
      <c r="AZ22" s="116">
        <v>3.7528026920173101</v>
      </c>
      <c r="BJ22" s="48" t="s">
        <v>40</v>
      </c>
      <c r="BK22" t="s">
        <v>162</v>
      </c>
      <c r="BL22" t="s">
        <v>162</v>
      </c>
      <c r="BM22" t="s">
        <v>162</v>
      </c>
      <c r="BN22" t="s">
        <v>162</v>
      </c>
      <c r="BO22" t="s">
        <v>162</v>
      </c>
      <c r="BP22" t="s">
        <v>162</v>
      </c>
      <c r="BQ22" t="s">
        <v>162</v>
      </c>
      <c r="BR22" t="s">
        <v>162</v>
      </c>
      <c r="BS22" s="58">
        <v>0.52535944249941502</v>
      </c>
      <c r="BT22" s="116">
        <v>1.35482418737221</v>
      </c>
      <c r="BU22" s="58">
        <v>1.70075307373037</v>
      </c>
      <c r="BV22" s="58">
        <v>2.5404880981468598</v>
      </c>
      <c r="BW22" s="58">
        <v>1.1218892059474299</v>
      </c>
      <c r="BX22" s="58">
        <v>1.47958805400294</v>
      </c>
      <c r="BY22" s="58">
        <v>0.82319953655207001</v>
      </c>
      <c r="BZ22" s="59" t="s">
        <v>162</v>
      </c>
      <c r="CA22" s="116">
        <v>1.5374163100735001</v>
      </c>
      <c r="CB22" t="s">
        <v>162</v>
      </c>
      <c r="CC22" s="116">
        <v>0.53042259043599305</v>
      </c>
    </row>
    <row r="23" spans="2:81" ht="23.4" x14ac:dyDescent="0.45">
      <c r="C23" s="58"/>
      <c r="D23" s="126" t="s">
        <v>356</v>
      </c>
      <c r="E23" s="58"/>
      <c r="F23" s="58"/>
      <c r="S23" s="39"/>
      <c r="T23" s="39"/>
      <c r="U23" s="39"/>
      <c r="V23" s="39"/>
      <c r="W23" s="68"/>
      <c r="AK23" s="58"/>
      <c r="AL23" s="59"/>
      <c r="AM23" s="58"/>
      <c r="AN23" s="61"/>
      <c r="AO23" s="62"/>
      <c r="AP23" s="58"/>
      <c r="AQ23" s="58"/>
      <c r="AR23" s="58"/>
      <c r="AS23" s="61"/>
      <c r="AT23" s="58"/>
      <c r="BS23" s="58"/>
      <c r="BT23" s="58"/>
      <c r="BU23" s="58"/>
    </row>
    <row r="24" spans="2:81" ht="15" thickBot="1" x14ac:dyDescent="0.35">
      <c r="C24" s="58"/>
      <c r="D24" s="58"/>
      <c r="E24" s="58"/>
      <c r="F24" s="58"/>
      <c r="S24" s="39"/>
      <c r="T24" s="39"/>
      <c r="U24" s="39"/>
      <c r="V24" s="39"/>
      <c r="W24" s="68"/>
      <c r="AK24" s="58"/>
      <c r="AL24" s="59"/>
      <c r="AM24" s="58"/>
      <c r="AN24" s="61"/>
      <c r="AO24" s="62"/>
      <c r="AP24" s="58"/>
      <c r="AQ24" s="58"/>
      <c r="AR24" s="58"/>
      <c r="AS24" s="61"/>
      <c r="AT24" s="58"/>
      <c r="BS24" s="58"/>
      <c r="BT24" s="58"/>
      <c r="BU24" s="58"/>
    </row>
    <row r="25" spans="2:81" x14ac:dyDescent="0.3">
      <c r="B25" s="133"/>
      <c r="C25" s="183" t="s">
        <v>310</v>
      </c>
      <c r="D25" s="184"/>
      <c r="E25" s="183" t="s">
        <v>41</v>
      </c>
      <c r="F25" s="184"/>
      <c r="S25" s="39"/>
      <c r="T25" s="39"/>
      <c r="U25" s="39"/>
      <c r="V25" s="39"/>
      <c r="W25" s="68"/>
      <c r="AK25" s="58"/>
      <c r="AL25" s="59"/>
      <c r="AM25" s="58"/>
      <c r="AN25" s="61"/>
      <c r="AO25" s="62"/>
      <c r="AP25" s="58"/>
      <c r="AQ25" s="58"/>
      <c r="AR25" s="58"/>
      <c r="AS25" s="61"/>
      <c r="AT25" s="58"/>
      <c r="BS25" s="58"/>
      <c r="BT25" s="58"/>
      <c r="BU25" s="58"/>
    </row>
    <row r="26" spans="2:81" x14ac:dyDescent="0.3">
      <c r="B26" s="134"/>
      <c r="C26" s="131" t="s">
        <v>447</v>
      </c>
      <c r="D26" s="135" t="s">
        <v>308</v>
      </c>
      <c r="E26" s="131" t="s">
        <v>447</v>
      </c>
      <c r="F26" s="135" t="s">
        <v>308</v>
      </c>
      <c r="H26" s="1"/>
      <c r="R26" s="39"/>
      <c r="S26" s="39"/>
      <c r="T26" s="39"/>
      <c r="U26" s="39"/>
      <c r="V26" s="68"/>
      <c r="AJ26" s="58"/>
      <c r="AK26" s="59"/>
      <c r="AL26" s="58"/>
      <c r="AM26" s="61"/>
      <c r="AN26" s="62"/>
      <c r="AO26" s="58"/>
      <c r="AP26" s="58"/>
      <c r="AQ26" s="58"/>
      <c r="AR26" s="61"/>
      <c r="AS26" s="58"/>
      <c r="BR26" s="58"/>
      <c r="BS26" s="58"/>
      <c r="BT26" s="58"/>
    </row>
    <row r="27" spans="2:81" x14ac:dyDescent="0.3">
      <c r="B27" s="136" t="s">
        <v>3</v>
      </c>
      <c r="C27" s="132" t="s">
        <v>476</v>
      </c>
      <c r="D27" s="137" t="s">
        <v>477</v>
      </c>
      <c r="E27" s="132" t="s">
        <v>478</v>
      </c>
      <c r="F27" s="137" t="s">
        <v>479</v>
      </c>
      <c r="H27" s="99">
        <v>45054</v>
      </c>
      <c r="I27" t="s">
        <v>480</v>
      </c>
      <c r="J27" s="10"/>
      <c r="R27" s="39"/>
      <c r="S27" s="39"/>
      <c r="T27" s="39"/>
      <c r="U27" s="39"/>
      <c r="V27" s="68"/>
      <c r="AJ27" s="58"/>
      <c r="AK27" s="59"/>
      <c r="AL27" s="58"/>
      <c r="AM27" s="61"/>
      <c r="AN27" s="62"/>
      <c r="AO27" s="58"/>
      <c r="AP27" s="58"/>
      <c r="AQ27" s="58"/>
      <c r="AR27" s="61"/>
      <c r="AS27" s="58"/>
      <c r="BR27" s="58"/>
      <c r="BS27" s="58"/>
      <c r="BT27" s="58"/>
    </row>
    <row r="28" spans="2:81" x14ac:dyDescent="0.3">
      <c r="B28" s="78" t="s">
        <v>292</v>
      </c>
      <c r="C28" s="132" t="s">
        <v>486</v>
      </c>
      <c r="D28" s="137" t="s">
        <v>487</v>
      </c>
      <c r="E28" s="132" t="s">
        <v>490</v>
      </c>
      <c r="F28" s="137" t="s">
        <v>491</v>
      </c>
      <c r="H28" s="99">
        <v>45054</v>
      </c>
      <c r="I28" t="s">
        <v>481</v>
      </c>
    </row>
    <row r="29" spans="2:81" x14ac:dyDescent="0.3">
      <c r="B29" s="78" t="s">
        <v>301</v>
      </c>
      <c r="C29" s="145" t="s">
        <v>454</v>
      </c>
      <c r="D29" s="146" t="s">
        <v>451</v>
      </c>
      <c r="E29" s="132" t="s">
        <v>453</v>
      </c>
      <c r="F29" s="137" t="s">
        <v>452</v>
      </c>
      <c r="H29" s="99">
        <v>45054</v>
      </c>
      <c r="I29" t="s">
        <v>482</v>
      </c>
    </row>
    <row r="30" spans="2:81" x14ac:dyDescent="0.3">
      <c r="B30" s="78" t="s">
        <v>302</v>
      </c>
      <c r="C30" s="145" t="s">
        <v>455</v>
      </c>
      <c r="D30" s="146" t="s">
        <v>456</v>
      </c>
      <c r="E30" s="132" t="s">
        <v>457</v>
      </c>
      <c r="F30" s="137" t="s">
        <v>458</v>
      </c>
      <c r="H30" s="99">
        <v>45054</v>
      </c>
      <c r="I30" t="s">
        <v>483</v>
      </c>
    </row>
    <row r="31" spans="2:81" x14ac:dyDescent="0.3">
      <c r="B31" s="78" t="s">
        <v>280</v>
      </c>
      <c r="C31" s="149" t="s">
        <v>498</v>
      </c>
      <c r="D31" s="150" t="s">
        <v>499</v>
      </c>
      <c r="E31" s="145" t="s">
        <v>474</v>
      </c>
      <c r="F31" s="146" t="s">
        <v>475</v>
      </c>
      <c r="H31" s="99">
        <v>45054</v>
      </c>
      <c r="I31" t="s">
        <v>483</v>
      </c>
    </row>
    <row r="32" spans="2:81" ht="15" customHeight="1" x14ac:dyDescent="0.3">
      <c r="B32" s="78" t="s">
        <v>304</v>
      </c>
      <c r="C32" s="145" t="s">
        <v>459</v>
      </c>
      <c r="D32" s="146" t="s">
        <v>460</v>
      </c>
      <c r="E32" s="132" t="s">
        <v>461</v>
      </c>
      <c r="F32" s="137" t="s">
        <v>462</v>
      </c>
      <c r="H32" s="99">
        <v>45054</v>
      </c>
      <c r="I32" t="s">
        <v>483</v>
      </c>
    </row>
    <row r="33" spans="2:9" ht="15.75" customHeight="1" x14ac:dyDescent="0.3">
      <c r="B33" s="78" t="s">
        <v>305</v>
      </c>
      <c r="C33" s="145" t="s">
        <v>463</v>
      </c>
      <c r="D33" s="146" t="s">
        <v>464</v>
      </c>
      <c r="E33" s="132" t="s">
        <v>465</v>
      </c>
      <c r="F33" s="137" t="s">
        <v>466</v>
      </c>
      <c r="H33" s="99">
        <v>45054</v>
      </c>
      <c r="I33" t="s">
        <v>482</v>
      </c>
    </row>
    <row r="34" spans="2:9" ht="15" thickBot="1" x14ac:dyDescent="0.35">
      <c r="B34" s="138" t="s">
        <v>467</v>
      </c>
      <c r="C34" s="147" t="s">
        <v>470</v>
      </c>
      <c r="D34" s="148" t="s">
        <v>471</v>
      </c>
      <c r="E34" s="147" t="s">
        <v>468</v>
      </c>
      <c r="F34" s="148" t="s">
        <v>469</v>
      </c>
    </row>
    <row r="35" spans="2:9" x14ac:dyDescent="0.3">
      <c r="C35" s="58"/>
      <c r="D35" s="58"/>
      <c r="E35" s="58"/>
      <c r="F35" s="58"/>
    </row>
    <row r="48" spans="2:9" x14ac:dyDescent="0.3">
      <c r="B48" t="s">
        <v>313</v>
      </c>
    </row>
    <row r="49" spans="2:14" ht="15" thickBot="1" x14ac:dyDescent="0.35"/>
    <row r="50" spans="2:14" ht="29.4" thickBot="1" x14ac:dyDescent="0.35">
      <c r="B50" s="169" t="s">
        <v>314</v>
      </c>
      <c r="C50" s="170"/>
      <c r="D50" s="171"/>
      <c r="M50" s="28" t="s">
        <v>317</v>
      </c>
      <c r="N50" s="28" t="s">
        <v>320</v>
      </c>
    </row>
    <row r="51" spans="2:14" x14ac:dyDescent="0.3">
      <c r="B51" s="172" t="s">
        <v>310</v>
      </c>
      <c r="C51" s="173"/>
      <c r="D51" s="174"/>
    </row>
    <row r="52" spans="2:14" ht="15" thickBot="1" x14ac:dyDescent="0.35"/>
    <row r="53" spans="2:14" x14ac:dyDescent="0.3">
      <c r="B53" s="75"/>
      <c r="C53" s="46" t="s">
        <v>7</v>
      </c>
      <c r="D53" s="46"/>
      <c r="E53" s="46" t="s">
        <v>0</v>
      </c>
      <c r="F53" s="46"/>
      <c r="G53" s="46"/>
      <c r="H53" s="46"/>
      <c r="I53" s="90"/>
      <c r="J53" s="46" t="s">
        <v>315</v>
      </c>
      <c r="K53" s="98"/>
    </row>
    <row r="54" spans="2:14" ht="28.8" x14ac:dyDescent="0.3">
      <c r="B54" s="84"/>
      <c r="C54" s="3" t="s">
        <v>281</v>
      </c>
      <c r="D54" s="8" t="s">
        <v>308</v>
      </c>
      <c r="E54" s="3" t="s">
        <v>281</v>
      </c>
      <c r="F54" s="3"/>
      <c r="G54" s="3"/>
      <c r="H54" s="3"/>
      <c r="I54" s="8" t="s">
        <v>308</v>
      </c>
      <c r="J54" s="3" t="s">
        <v>281</v>
      </c>
      <c r="K54" s="91" t="s">
        <v>308</v>
      </c>
    </row>
    <row r="55" spans="2:14" x14ac:dyDescent="0.3">
      <c r="B55" s="76" t="s">
        <v>279</v>
      </c>
      <c r="C55" s="10" t="s">
        <v>311</v>
      </c>
      <c r="D55" s="10" t="s">
        <v>309</v>
      </c>
      <c r="E55" s="10" t="s">
        <v>311</v>
      </c>
      <c r="F55" s="10"/>
      <c r="G55" s="10"/>
      <c r="H55" s="10"/>
      <c r="I55" s="10" t="s">
        <v>309</v>
      </c>
      <c r="J55" s="102" t="s">
        <v>311</v>
      </c>
      <c r="K55" s="103" t="s">
        <v>309</v>
      </c>
      <c r="M55" s="99">
        <v>44629</v>
      </c>
    </row>
    <row r="56" spans="2:14" ht="15" thickBot="1" x14ac:dyDescent="0.35">
      <c r="B56" s="51" t="s">
        <v>292</v>
      </c>
      <c r="C56" s="55" t="s">
        <v>339</v>
      </c>
      <c r="D56" s="55" t="s">
        <v>344</v>
      </c>
      <c r="E56" s="55" t="s">
        <v>342</v>
      </c>
      <c r="F56" s="55"/>
      <c r="G56" s="55"/>
      <c r="H56" s="55"/>
      <c r="I56" s="55" t="s">
        <v>343</v>
      </c>
      <c r="J56" s="104" t="s">
        <v>340</v>
      </c>
      <c r="K56" s="105" t="s">
        <v>341</v>
      </c>
      <c r="M56" s="99">
        <v>44629</v>
      </c>
      <c r="N56" t="s">
        <v>338</v>
      </c>
    </row>
    <row r="60" spans="2:14" x14ac:dyDescent="0.3">
      <c r="B60" t="s">
        <v>312</v>
      </c>
    </row>
    <row r="61" spans="2:14" ht="29.4" thickBot="1" x14ac:dyDescent="0.35">
      <c r="M61" s="28" t="s">
        <v>317</v>
      </c>
      <c r="N61" s="28" t="s">
        <v>320</v>
      </c>
    </row>
    <row r="62" spans="2:14" ht="15" thickBot="1" x14ac:dyDescent="0.35">
      <c r="B62" s="169" t="s">
        <v>314</v>
      </c>
      <c r="C62" s="170"/>
      <c r="D62" s="171"/>
    </row>
    <row r="63" spans="2:14" x14ac:dyDescent="0.3">
      <c r="B63" s="172" t="s">
        <v>41</v>
      </c>
      <c r="C63" s="173"/>
      <c r="D63" s="174"/>
    </row>
    <row r="64" spans="2:14" ht="15" thickBot="1" x14ac:dyDescent="0.35"/>
    <row r="65" spans="2:17" x14ac:dyDescent="0.3">
      <c r="B65" s="75"/>
      <c r="C65" s="46" t="s">
        <v>7</v>
      </c>
      <c r="D65" s="46"/>
      <c r="E65" s="46" t="s">
        <v>0</v>
      </c>
      <c r="F65" s="46"/>
      <c r="G65" s="46"/>
      <c r="H65" s="46"/>
      <c r="I65" s="90"/>
      <c r="J65" s="46" t="s">
        <v>315</v>
      </c>
      <c r="K65" s="98"/>
    </row>
    <row r="66" spans="2:17" ht="28.8" x14ac:dyDescent="0.3">
      <c r="B66" s="84"/>
      <c r="C66" s="3" t="s">
        <v>281</v>
      </c>
      <c r="D66" s="8" t="s">
        <v>308</v>
      </c>
      <c r="E66" s="3" t="s">
        <v>281</v>
      </c>
      <c r="F66" s="3"/>
      <c r="G66" s="3"/>
      <c r="H66" s="3"/>
      <c r="I66" s="8" t="s">
        <v>308</v>
      </c>
      <c r="J66" s="3" t="s">
        <v>281</v>
      </c>
      <c r="K66" s="91" t="s">
        <v>308</v>
      </c>
    </row>
    <row r="67" spans="2:17" x14ac:dyDescent="0.3">
      <c r="B67" s="76" t="s">
        <v>279</v>
      </c>
      <c r="C67" s="10" t="s">
        <v>311</v>
      </c>
      <c r="D67" s="10" t="s">
        <v>309</v>
      </c>
      <c r="E67" s="10" t="s">
        <v>311</v>
      </c>
      <c r="F67" s="10"/>
      <c r="G67" s="10"/>
      <c r="H67" s="10"/>
      <c r="I67" s="10" t="s">
        <v>309</v>
      </c>
      <c r="J67" s="102" t="s">
        <v>311</v>
      </c>
      <c r="K67" s="103" t="s">
        <v>309</v>
      </c>
      <c r="M67" s="99">
        <v>44629</v>
      </c>
    </row>
    <row r="68" spans="2:17" ht="15" thickBot="1" x14ac:dyDescent="0.35">
      <c r="B68" s="51" t="s">
        <v>292</v>
      </c>
      <c r="C68" s="55" t="s">
        <v>345</v>
      </c>
      <c r="D68" s="55" t="s">
        <v>346</v>
      </c>
      <c r="E68" s="55" t="s">
        <v>347</v>
      </c>
      <c r="F68" s="55"/>
      <c r="G68" s="55"/>
      <c r="H68" s="55"/>
      <c r="I68" s="55" t="s">
        <v>348</v>
      </c>
      <c r="J68" s="104" t="s">
        <v>349</v>
      </c>
      <c r="K68" s="105" t="s">
        <v>350</v>
      </c>
      <c r="M68" s="99">
        <v>44629</v>
      </c>
      <c r="N68" t="s">
        <v>338</v>
      </c>
    </row>
    <row r="74" spans="2:17" ht="23.4" x14ac:dyDescent="0.45">
      <c r="B74" s="94" t="s">
        <v>282</v>
      </c>
    </row>
    <row r="76" spans="2:17" ht="15" thickBot="1" x14ac:dyDescent="0.35">
      <c r="B76" t="s">
        <v>42</v>
      </c>
      <c r="C76" s="7">
        <v>44959</v>
      </c>
    </row>
    <row r="77" spans="2:17" x14ac:dyDescent="0.3">
      <c r="B77" s="45" t="s">
        <v>37</v>
      </c>
      <c r="C77" s="46" t="s">
        <v>7</v>
      </c>
      <c r="D77" s="46" t="s">
        <v>0</v>
      </c>
      <c r="E77" s="47" t="s">
        <v>43</v>
      </c>
      <c r="F77" s="74"/>
      <c r="G77" s="74"/>
      <c r="H77" s="74"/>
    </row>
    <row r="78" spans="2:17" x14ac:dyDescent="0.3">
      <c r="B78" s="48"/>
      <c r="C78" s="10"/>
      <c r="D78" s="10"/>
      <c r="E78" s="53"/>
      <c r="F78" s="39"/>
      <c r="G78" s="39"/>
      <c r="H78" s="39"/>
    </row>
    <row r="79" spans="2:17" x14ac:dyDescent="0.3">
      <c r="B79" s="49" t="s">
        <v>74</v>
      </c>
      <c r="C79" s="25"/>
      <c r="D79" s="25"/>
      <c r="E79" s="53"/>
      <c r="F79" s="39"/>
      <c r="G79" s="39"/>
      <c r="H79" s="39"/>
    </row>
    <row r="80" spans="2:17" x14ac:dyDescent="0.3">
      <c r="B80" s="50" t="s">
        <v>38</v>
      </c>
      <c r="C80" s="10"/>
      <c r="D80" s="10"/>
      <c r="E80" s="53"/>
      <c r="F80" s="39"/>
      <c r="G80" s="39"/>
      <c r="H80" s="39"/>
      <c r="L80" s="39"/>
      <c r="M80" s="39"/>
      <c r="N80" s="39"/>
      <c r="O80" s="39"/>
      <c r="P80" s="39"/>
      <c r="Q80" s="39"/>
    </row>
    <row r="81" spans="2:80" x14ac:dyDescent="0.3">
      <c r="B81" s="48" t="s">
        <v>39</v>
      </c>
      <c r="C81" s="10" t="str">
        <f>X16</f>
        <v xml:space="preserve">2.12,  (1.46 , 2.67), </v>
      </c>
      <c r="D81" s="10" t="str">
        <f>AB16</f>
        <v xml:space="preserve">3.49,  (2.44 , 4.25), </v>
      </c>
      <c r="E81" s="53"/>
      <c r="F81" s="39"/>
      <c r="G81" s="39"/>
      <c r="H81" s="39"/>
      <c r="L81" s="39"/>
      <c r="M81" s="39"/>
      <c r="N81" s="39"/>
      <c r="O81" s="39"/>
      <c r="P81" s="39"/>
      <c r="Q81" s="39"/>
    </row>
    <row r="82" spans="2:80" x14ac:dyDescent="0.3">
      <c r="B82" s="48" t="s">
        <v>40</v>
      </c>
      <c r="C82" s="10" t="str">
        <f>X17</f>
        <v xml:space="preserve">1.83,  (1.37 , 2.04), </v>
      </c>
      <c r="D82" s="10" t="str">
        <f>AB17</f>
        <v xml:space="preserve">2.23,  (1.19 , 2.82), </v>
      </c>
      <c r="E82" s="53"/>
      <c r="F82" s="39"/>
      <c r="G82" s="39"/>
      <c r="H82" s="39"/>
      <c r="L82" s="39"/>
      <c r="M82" s="39"/>
      <c r="N82" s="39"/>
      <c r="O82" s="39"/>
      <c r="P82" s="39"/>
      <c r="Q82" s="39"/>
    </row>
    <row r="83" spans="2:80" x14ac:dyDescent="0.3">
      <c r="B83" s="50" t="s">
        <v>41</v>
      </c>
      <c r="C83" s="10"/>
      <c r="D83" s="10"/>
      <c r="E83" s="53"/>
      <c r="F83" s="39"/>
      <c r="G83" s="39"/>
      <c r="H83" s="39"/>
      <c r="L83" s="39"/>
      <c r="M83" s="39"/>
      <c r="N83" s="39"/>
      <c r="O83" s="39"/>
      <c r="P83" s="39"/>
      <c r="Q83" s="39"/>
    </row>
    <row r="84" spans="2:80" x14ac:dyDescent="0.3">
      <c r="B84" s="48" t="s">
        <v>39</v>
      </c>
      <c r="C84" s="10" t="str">
        <f>X21</f>
        <v xml:space="preserve">1.81,  (1.49 , 2.17), </v>
      </c>
      <c r="D84" s="10" t="str">
        <f>AB21</f>
        <v xml:space="preserve">1.68,  (1.06 , 2.56), </v>
      </c>
      <c r="E84" s="53"/>
      <c r="F84" s="39"/>
      <c r="G84" s="39"/>
      <c r="H84" s="39"/>
      <c r="L84" s="39"/>
      <c r="M84" s="39"/>
      <c r="N84" s="39"/>
      <c r="O84" s="39"/>
      <c r="P84" s="39"/>
      <c r="Q84" s="39"/>
    </row>
    <row r="85" spans="2:80" x14ac:dyDescent="0.3">
      <c r="B85" s="48" t="s">
        <v>40</v>
      </c>
      <c r="C85" s="10" t="str">
        <f>X22</f>
        <v xml:space="preserve">2.19,  (2.03 , 2.97), </v>
      </c>
      <c r="D85" s="10" t="str">
        <f>AB22</f>
        <v xml:space="preserve">1.35,  (0.82 , 1.53), </v>
      </c>
      <c r="E85" s="53"/>
      <c r="F85" s="39"/>
      <c r="G85" s="39"/>
      <c r="H85" s="39"/>
      <c r="L85" s="39"/>
      <c r="M85" s="39"/>
      <c r="N85" s="39"/>
      <c r="O85" s="39"/>
      <c r="P85" s="39"/>
      <c r="Q85" s="39"/>
    </row>
    <row r="86" spans="2:80" x14ac:dyDescent="0.3">
      <c r="C86" s="39"/>
      <c r="D86" s="39"/>
      <c r="E86" s="39"/>
      <c r="F86" s="39"/>
      <c r="G86" s="39"/>
      <c r="H86" s="39"/>
      <c r="L86" s="39"/>
      <c r="M86" s="39"/>
      <c r="N86" s="39"/>
      <c r="O86" s="39"/>
      <c r="P86" s="39"/>
      <c r="Q86" s="39"/>
    </row>
    <row r="87" spans="2:80" x14ac:dyDescent="0.3">
      <c r="C87" s="39"/>
      <c r="D87" s="39"/>
      <c r="E87" s="39"/>
      <c r="F87" s="39"/>
      <c r="G87" s="39"/>
      <c r="H87" s="39"/>
      <c r="L87" s="39"/>
      <c r="M87" s="39"/>
      <c r="N87" s="39"/>
      <c r="O87" s="39"/>
      <c r="P87" s="39"/>
      <c r="Q87" s="39"/>
    </row>
    <row r="88" spans="2:80" x14ac:dyDescent="0.3">
      <c r="C88" s="39"/>
      <c r="D88" s="39"/>
      <c r="E88" s="39"/>
      <c r="F88" s="39"/>
      <c r="G88" s="39"/>
      <c r="H88" s="39"/>
      <c r="L88" s="39"/>
      <c r="M88" s="39"/>
      <c r="N88" s="39"/>
      <c r="O88" s="39"/>
      <c r="P88" s="39"/>
      <c r="Q88" s="39"/>
    </row>
    <row r="89" spans="2:80" x14ac:dyDescent="0.3">
      <c r="L89" s="39"/>
      <c r="M89" s="39"/>
      <c r="N89" s="39"/>
      <c r="O89" s="39"/>
      <c r="P89" s="39"/>
      <c r="Q89" s="39"/>
    </row>
    <row r="90" spans="2:80" ht="25.8" x14ac:dyDescent="0.5">
      <c r="B90" s="57" t="s">
        <v>175</v>
      </c>
      <c r="L90" s="39"/>
      <c r="M90" s="39"/>
      <c r="N90" s="39"/>
      <c r="O90" s="39"/>
      <c r="P90" s="39"/>
      <c r="Q90" s="39"/>
    </row>
    <row r="91" spans="2:80" x14ac:dyDescent="0.3">
      <c r="B91" t="s">
        <v>42</v>
      </c>
      <c r="C91" s="7">
        <v>44959</v>
      </c>
      <c r="L91" s="39"/>
      <c r="M91" s="39"/>
      <c r="N91" s="39"/>
      <c r="O91" s="39"/>
      <c r="P91" s="39"/>
      <c r="Q91" s="39"/>
    </row>
    <row r="92" spans="2:80" ht="15" thickBot="1" x14ac:dyDescent="0.35">
      <c r="L92" s="39"/>
      <c r="M92" s="39"/>
      <c r="N92" s="39"/>
      <c r="O92" s="39"/>
      <c r="P92" s="39"/>
      <c r="Q92" s="39"/>
    </row>
    <row r="93" spans="2:80" x14ac:dyDescent="0.3">
      <c r="B93" s="45" t="s">
        <v>37</v>
      </c>
      <c r="C93" s="46" t="s">
        <v>7</v>
      </c>
      <c r="D93" s="46" t="s">
        <v>0</v>
      </c>
      <c r="E93" s="47" t="s">
        <v>43</v>
      </c>
      <c r="F93" s="74"/>
      <c r="G93" s="74"/>
      <c r="H93" s="74"/>
      <c r="AF93" s="1" t="s">
        <v>187</v>
      </c>
      <c r="AG93" t="s">
        <v>188</v>
      </c>
      <c r="AH93" t="s">
        <v>189</v>
      </c>
      <c r="AI93" t="s">
        <v>190</v>
      </c>
      <c r="AJ93" t="s">
        <v>191</v>
      </c>
      <c r="AK93" t="s">
        <v>192</v>
      </c>
      <c r="AL93" t="s">
        <v>193</v>
      </c>
      <c r="AM93" t="s">
        <v>194</v>
      </c>
      <c r="AN93" t="s">
        <v>194</v>
      </c>
      <c r="AO93" t="s">
        <v>195</v>
      </c>
      <c r="AP93" t="s">
        <v>196</v>
      </c>
      <c r="AQ93" t="s">
        <v>197</v>
      </c>
      <c r="AR93" t="s">
        <v>198</v>
      </c>
      <c r="AS93" t="s">
        <v>199</v>
      </c>
      <c r="AT93" t="s">
        <v>200</v>
      </c>
      <c r="AW93" t="s">
        <v>378</v>
      </c>
      <c r="BJ93" s="1" t="s">
        <v>187</v>
      </c>
      <c r="BK93" t="s">
        <v>202</v>
      </c>
      <c r="BL93" t="s">
        <v>198</v>
      </c>
      <c r="BM93" t="s">
        <v>203</v>
      </c>
      <c r="BN93" t="s">
        <v>204</v>
      </c>
      <c r="BO93" t="s">
        <v>205</v>
      </c>
      <c r="BP93" t="s">
        <v>206</v>
      </c>
      <c r="BQ93" t="s">
        <v>207</v>
      </c>
      <c r="BR93" t="s">
        <v>208</v>
      </c>
      <c r="BS93" t="s">
        <v>209</v>
      </c>
      <c r="BT93" t="s">
        <v>210</v>
      </c>
      <c r="BU93" t="s">
        <v>203</v>
      </c>
      <c r="BV93" t="s">
        <v>211</v>
      </c>
      <c r="BW93" t="s">
        <v>212</v>
      </c>
      <c r="BX93" t="s">
        <v>213</v>
      </c>
      <c r="BY93" t="s">
        <v>380</v>
      </c>
      <c r="BZ93" t="s">
        <v>381</v>
      </c>
      <c r="CA93" t="s">
        <v>382</v>
      </c>
      <c r="CB93" t="s">
        <v>383</v>
      </c>
    </row>
    <row r="94" spans="2:80" x14ac:dyDescent="0.3">
      <c r="B94" s="48"/>
      <c r="C94" s="10"/>
      <c r="D94" s="10"/>
      <c r="E94" s="53"/>
      <c r="F94" s="39"/>
      <c r="G94" s="39"/>
      <c r="H94" s="39"/>
      <c r="AF94" s="1" t="s">
        <v>201</v>
      </c>
      <c r="AG94">
        <f>AG95/12</f>
        <v>12.5</v>
      </c>
      <c r="AH94" t="s">
        <v>162</v>
      </c>
      <c r="AI94">
        <f>AI95/12</f>
        <v>10.5</v>
      </c>
      <c r="AJ94">
        <f>AJ95/12</f>
        <v>10.916666666666666</v>
      </c>
      <c r="AK94">
        <f>AK95/12</f>
        <v>14.833333333333334</v>
      </c>
      <c r="AL94">
        <f>AL95/12</f>
        <v>9.8333333333333339</v>
      </c>
      <c r="AM94" t="s">
        <v>162</v>
      </c>
      <c r="AN94">
        <v>18</v>
      </c>
      <c r="AO94" t="s">
        <v>162</v>
      </c>
      <c r="AP94" t="s">
        <v>162</v>
      </c>
      <c r="AQ94">
        <f>AQ95/12</f>
        <v>10.833333333333334</v>
      </c>
      <c r="AR94" s="27" t="s">
        <v>162</v>
      </c>
      <c r="AS94">
        <f>AS95/12</f>
        <v>14.75</v>
      </c>
      <c r="AT94" s="27" t="s">
        <v>162</v>
      </c>
      <c r="AU94" s="27" t="s">
        <v>162</v>
      </c>
      <c r="AV94" s="27" t="s">
        <v>162</v>
      </c>
      <c r="AW94">
        <f>AW95/12</f>
        <v>12.583333333333334</v>
      </c>
      <c r="BJ94" s="1" t="s">
        <v>201</v>
      </c>
      <c r="BK94">
        <f>BK95/12</f>
        <v>10.583333333333334</v>
      </c>
      <c r="BL94">
        <f>BL95/12</f>
        <v>7.083333333333333</v>
      </c>
      <c r="BM94">
        <f>BM95/12</f>
        <v>7.333333333333333</v>
      </c>
      <c r="BN94" t="s">
        <v>162</v>
      </c>
      <c r="BO94">
        <f t="shared" ref="BO94:CA94" si="3">BO95/12</f>
        <v>11.166666666666666</v>
      </c>
      <c r="BP94">
        <f t="shared" si="3"/>
        <v>9.25</v>
      </c>
      <c r="BQ94">
        <f t="shared" si="3"/>
        <v>9.5</v>
      </c>
      <c r="BR94">
        <f t="shared" si="3"/>
        <v>6.75</v>
      </c>
      <c r="BS94">
        <f t="shared" si="3"/>
        <v>13.416666666666666</v>
      </c>
      <c r="BT94">
        <f t="shared" si="3"/>
        <v>8.6666666666666661</v>
      </c>
      <c r="BU94">
        <f t="shared" si="3"/>
        <v>11.833333333333334</v>
      </c>
      <c r="BV94">
        <f t="shared" si="3"/>
        <v>7.333333333333333</v>
      </c>
      <c r="BW94">
        <f t="shared" si="3"/>
        <v>15</v>
      </c>
      <c r="BX94">
        <f t="shared" si="3"/>
        <v>11.833333333333334</v>
      </c>
      <c r="BY94">
        <f t="shared" si="3"/>
        <v>11.916666666666666</v>
      </c>
      <c r="BZ94">
        <f t="shared" si="3"/>
        <v>15.75</v>
      </c>
      <c r="CA94">
        <f t="shared" si="3"/>
        <v>12.333333333333334</v>
      </c>
      <c r="CB94" t="s">
        <v>162</v>
      </c>
    </row>
    <row r="95" spans="2:80" x14ac:dyDescent="0.3">
      <c r="B95" s="49" t="s">
        <v>74</v>
      </c>
      <c r="C95" s="25"/>
      <c r="D95" s="25"/>
      <c r="E95" s="53"/>
      <c r="F95" s="39"/>
      <c r="G95" s="39"/>
      <c r="H95" s="39"/>
      <c r="AF95" s="1" t="s">
        <v>72</v>
      </c>
      <c r="AG95">
        <v>150</v>
      </c>
      <c r="AH95" t="s">
        <v>162</v>
      </c>
      <c r="AI95">
        <v>126</v>
      </c>
      <c r="AJ95">
        <v>131</v>
      </c>
      <c r="AK95">
        <v>178</v>
      </c>
      <c r="AL95">
        <v>118</v>
      </c>
      <c r="AM95" t="s">
        <v>162</v>
      </c>
      <c r="AN95">
        <v>224</v>
      </c>
      <c r="AO95" t="s">
        <v>162</v>
      </c>
      <c r="AP95" t="s">
        <v>162</v>
      </c>
      <c r="AQ95">
        <v>130</v>
      </c>
      <c r="AR95" s="27" t="s">
        <v>162</v>
      </c>
      <c r="AS95">
        <v>177</v>
      </c>
      <c r="AT95" s="27" t="s">
        <v>162</v>
      </c>
      <c r="AU95" s="27" t="s">
        <v>162</v>
      </c>
      <c r="AV95" s="27" t="s">
        <v>162</v>
      </c>
      <c r="AW95">
        <v>151</v>
      </c>
      <c r="BJ95" s="1" t="s">
        <v>72</v>
      </c>
      <c r="BK95">
        <v>127</v>
      </c>
      <c r="BL95">
        <v>85</v>
      </c>
      <c r="BM95">
        <v>88</v>
      </c>
      <c r="BN95" t="s">
        <v>162</v>
      </c>
      <c r="BO95">
        <v>134</v>
      </c>
      <c r="BP95">
        <v>111</v>
      </c>
      <c r="BQ95" s="27">
        <v>114</v>
      </c>
      <c r="BR95" s="1">
        <v>81</v>
      </c>
      <c r="BS95">
        <v>161</v>
      </c>
      <c r="BT95">
        <v>104</v>
      </c>
      <c r="BU95">
        <v>142</v>
      </c>
      <c r="BV95">
        <v>88</v>
      </c>
      <c r="BW95">
        <v>180</v>
      </c>
      <c r="BX95">
        <v>142</v>
      </c>
      <c r="BY95">
        <v>143</v>
      </c>
      <c r="BZ95">
        <v>189</v>
      </c>
      <c r="CA95">
        <v>148</v>
      </c>
      <c r="CB95" t="s">
        <v>162</v>
      </c>
    </row>
    <row r="96" spans="2:80" ht="43.2" x14ac:dyDescent="0.3">
      <c r="B96" s="50" t="s">
        <v>38</v>
      </c>
      <c r="C96" s="10"/>
      <c r="D96" s="10"/>
      <c r="E96" s="53"/>
      <c r="F96" s="39"/>
      <c r="G96" s="39"/>
      <c r="H96" s="39"/>
      <c r="R96" s="1" t="s">
        <v>183</v>
      </c>
      <c r="S96" s="1" t="s">
        <v>184</v>
      </c>
      <c r="T96" s="1"/>
      <c r="U96" s="1"/>
      <c r="V96" s="1"/>
      <c r="W96" s="1"/>
      <c r="AF96" s="1" t="s">
        <v>387</v>
      </c>
      <c r="AG96" s="119" t="s">
        <v>67</v>
      </c>
      <c r="AH96" s="1" t="s">
        <v>73</v>
      </c>
      <c r="AI96" s="119" t="s">
        <v>68</v>
      </c>
      <c r="AJ96" s="119" t="s">
        <v>63</v>
      </c>
      <c r="AK96" s="29" t="s">
        <v>388</v>
      </c>
      <c r="AL96" s="1" t="s">
        <v>181</v>
      </c>
      <c r="AM96" s="1" t="s">
        <v>73</v>
      </c>
      <c r="AN96" s="64" t="s">
        <v>182</v>
      </c>
      <c r="AO96" s="1" t="s">
        <v>389</v>
      </c>
      <c r="AP96" s="1" t="s">
        <v>181</v>
      </c>
      <c r="AQ96" s="119" t="s">
        <v>69</v>
      </c>
      <c r="AR96" s="1" t="s">
        <v>73</v>
      </c>
      <c r="AS96" s="1" t="s">
        <v>181</v>
      </c>
      <c r="AT96" s="1" t="s">
        <v>73</v>
      </c>
      <c r="AU96" s="1" t="s">
        <v>73</v>
      </c>
      <c r="AV96" s="1" t="s">
        <v>73</v>
      </c>
      <c r="AW96" s="119" t="s">
        <v>258</v>
      </c>
      <c r="AX96" s="1"/>
      <c r="BJ96" s="1" t="s">
        <v>180</v>
      </c>
      <c r="BK96" s="1" t="s">
        <v>54</v>
      </c>
      <c r="BL96" s="65" t="s">
        <v>214</v>
      </c>
      <c r="BM96" s="65" t="s">
        <v>214</v>
      </c>
      <c r="BN96" s="65" t="s">
        <v>214</v>
      </c>
      <c r="BO96" s="1" t="s">
        <v>51</v>
      </c>
      <c r="BP96" s="1" t="s">
        <v>53</v>
      </c>
      <c r="BQ96" s="1" t="s">
        <v>61</v>
      </c>
      <c r="BR96" s="65" t="s">
        <v>214</v>
      </c>
      <c r="BS96" s="65" t="s">
        <v>214</v>
      </c>
      <c r="BT96" s="65" t="s">
        <v>214</v>
      </c>
      <c r="BU96" s="65" t="s">
        <v>214</v>
      </c>
      <c r="BV96" s="65" t="s">
        <v>214</v>
      </c>
      <c r="BW96" s="29" t="s">
        <v>388</v>
      </c>
      <c r="BX96" s="65" t="s">
        <v>214</v>
      </c>
      <c r="BY96" s="1" t="s">
        <v>266</v>
      </c>
      <c r="BZ96" s="65" t="s">
        <v>214</v>
      </c>
      <c r="CA96" s="1"/>
      <c r="CB96" s="1"/>
    </row>
    <row r="97" spans="2:80" ht="28.8" x14ac:dyDescent="0.3">
      <c r="B97" s="48" t="s">
        <v>39</v>
      </c>
      <c r="C97" s="10" t="str">
        <f>X103</f>
        <v>1.89,  (1.26 , 2.12), 5</v>
      </c>
      <c r="D97" s="10" t="str">
        <f>AB103</f>
        <v>3.1,  (2.46 , 3.52), 5</v>
      </c>
      <c r="E97" s="53"/>
      <c r="F97" s="39"/>
      <c r="G97" s="39"/>
      <c r="H97" s="39"/>
      <c r="R97">
        <f>MEDIAN(AG97:AU97)</f>
        <v>-7</v>
      </c>
      <c r="S97">
        <f>AVERAGE(AG97:AU97)</f>
        <v>-1</v>
      </c>
      <c r="AF97" s="1" t="s">
        <v>390</v>
      </c>
      <c r="AG97">
        <f>AG95-BS95</f>
        <v>-11</v>
      </c>
      <c r="AH97" t="s">
        <v>73</v>
      </c>
      <c r="AI97">
        <f>AI95-BT95</f>
        <v>22</v>
      </c>
      <c r="AJ97">
        <f>AJ95-BO95</f>
        <v>-3</v>
      </c>
      <c r="AK97" s="63" t="s">
        <v>162</v>
      </c>
      <c r="AL97" t="s">
        <v>73</v>
      </c>
      <c r="AM97" t="s">
        <v>73</v>
      </c>
      <c r="AO97" t="s">
        <v>73</v>
      </c>
      <c r="AP97" t="s">
        <v>73</v>
      </c>
      <c r="AQ97">
        <f>AQ95-BU95</f>
        <v>-12</v>
      </c>
      <c r="AR97" t="s">
        <v>73</v>
      </c>
      <c r="AS97" t="s">
        <v>73</v>
      </c>
      <c r="AT97" t="s">
        <v>73</v>
      </c>
      <c r="AU97" t="s">
        <v>73</v>
      </c>
      <c r="AV97" t="s">
        <v>73</v>
      </c>
      <c r="AW97">
        <f>AW95-CC95</f>
        <v>151</v>
      </c>
      <c r="BJ97" s="1" t="s">
        <v>185</v>
      </c>
    </row>
    <row r="98" spans="2:80" x14ac:dyDescent="0.3">
      <c r="B98" s="48" t="s">
        <v>40</v>
      </c>
      <c r="C98" s="10" t="str">
        <f>X104</f>
        <v>1.76,  (1.37 , 1.85), 4</v>
      </c>
      <c r="D98" s="10" t="str">
        <f>AB104</f>
        <v>2.13,  (0.98 , 2.37), 4</v>
      </c>
      <c r="E98" s="53"/>
      <c r="F98" s="39"/>
      <c r="G98" s="39"/>
      <c r="H98" s="39"/>
      <c r="S98" s="38" t="s">
        <v>218</v>
      </c>
      <c r="T98" s="38"/>
      <c r="U98" s="38"/>
      <c r="V98" s="38"/>
      <c r="W98" s="38"/>
      <c r="AF98" s="1" t="s">
        <v>391</v>
      </c>
      <c r="AG98" s="7">
        <v>44949</v>
      </c>
      <c r="AH98" t="s">
        <v>73</v>
      </c>
      <c r="AI98" s="7">
        <v>44949</v>
      </c>
      <c r="AJ98" s="7">
        <v>44949</v>
      </c>
      <c r="AK98" s="7">
        <v>44995</v>
      </c>
      <c r="AL98" t="s">
        <v>73</v>
      </c>
      <c r="AM98" t="s">
        <v>73</v>
      </c>
      <c r="AO98" t="s">
        <v>73</v>
      </c>
      <c r="AP98" t="s">
        <v>73</v>
      </c>
      <c r="AQ98" s="7">
        <v>44949</v>
      </c>
      <c r="AR98" t="s">
        <v>73</v>
      </c>
      <c r="AS98" t="s">
        <v>73</v>
      </c>
      <c r="AT98" t="s">
        <v>73</v>
      </c>
      <c r="AU98" t="s">
        <v>73</v>
      </c>
      <c r="AV98" t="s">
        <v>73</v>
      </c>
      <c r="AW98" s="7">
        <v>44979</v>
      </c>
      <c r="BJ98" s="1" t="s">
        <v>186</v>
      </c>
      <c r="BK98" s="7">
        <v>44949</v>
      </c>
      <c r="BO98" s="7">
        <v>44949</v>
      </c>
      <c r="BP98" s="7">
        <v>44949</v>
      </c>
      <c r="BQ98" s="7">
        <v>44949</v>
      </c>
      <c r="BS98" s="7">
        <v>44949</v>
      </c>
    </row>
    <row r="99" spans="2:80" x14ac:dyDescent="0.3">
      <c r="B99" s="50" t="s">
        <v>41</v>
      </c>
      <c r="C99" s="10"/>
      <c r="D99" s="10"/>
      <c r="E99" s="53"/>
      <c r="F99" s="39"/>
      <c r="G99" s="39"/>
      <c r="H99" s="39"/>
      <c r="S99" t="s">
        <v>219</v>
      </c>
    </row>
    <row r="100" spans="2:80" x14ac:dyDescent="0.3">
      <c r="B100" s="48" t="s">
        <v>39</v>
      </c>
      <c r="C100" s="10" t="str">
        <f t="shared" ref="C100:C101" si="4">X106</f>
        <v>1.74,  (1.41 , 1.88), 1</v>
      </c>
      <c r="D100" s="10" t="str">
        <f t="shared" ref="D100:D101" si="5">AB106</f>
        <v>1.55,  (1.01 , 2.61), 1</v>
      </c>
      <c r="E100" s="53"/>
      <c r="F100" s="39"/>
      <c r="G100" s="39"/>
      <c r="H100" s="39"/>
      <c r="R100" s="28" t="s">
        <v>178</v>
      </c>
      <c r="S100" t="s">
        <v>215</v>
      </c>
    </row>
    <row r="101" spans="2:80" x14ac:dyDescent="0.3">
      <c r="B101" s="48" t="s">
        <v>40</v>
      </c>
      <c r="C101" s="10" t="str">
        <f t="shared" si="4"/>
        <v>2.03,  (1.95 , 2.11), 1</v>
      </c>
      <c r="D101" s="10" t="str">
        <f t="shared" si="5"/>
        <v>1.47,  (1.08 , 1.61), 1</v>
      </c>
      <c r="E101" s="53"/>
      <c r="F101" s="39"/>
      <c r="G101" s="39"/>
      <c r="H101" s="39"/>
      <c r="S101" t="s">
        <v>259</v>
      </c>
      <c r="T101" t="s">
        <v>260</v>
      </c>
      <c r="U101" t="s">
        <v>259</v>
      </c>
      <c r="V101" t="s">
        <v>260</v>
      </c>
      <c r="W101" s="28"/>
      <c r="AF101" s="49" t="s">
        <v>74</v>
      </c>
      <c r="BJ101" s="49" t="s">
        <v>74</v>
      </c>
    </row>
    <row r="102" spans="2:80" ht="15" thickBot="1" x14ac:dyDescent="0.35">
      <c r="B102" s="51"/>
      <c r="C102" s="55"/>
      <c r="D102" s="55"/>
      <c r="E102" s="56"/>
      <c r="F102" s="39"/>
      <c r="G102" s="39"/>
      <c r="H102" s="39"/>
      <c r="AF102" s="50" t="s">
        <v>38</v>
      </c>
      <c r="BJ102" s="50" t="s">
        <v>38</v>
      </c>
    </row>
    <row r="103" spans="2:80" x14ac:dyDescent="0.3">
      <c r="P103" t="s">
        <v>233</v>
      </c>
      <c r="Q103">
        <f>_xlfn.T.TEST(AG103:BF103,BK103:CI103,2,2)</f>
        <v>5.6982132667968484E-2</v>
      </c>
      <c r="R103" t="s">
        <v>171</v>
      </c>
      <c r="S103" s="39">
        <v>5</v>
      </c>
      <c r="T103" s="39">
        <v>10</v>
      </c>
      <c r="U103" s="39">
        <v>5</v>
      </c>
      <c r="V103" s="39">
        <v>9</v>
      </c>
      <c r="W103" s="68"/>
      <c r="X103" t="str">
        <f>CONCATENATE(TRUNC(Y103,2), ",  (", TRUNC(Z103,2), " , ", TRUNC(AA103,2), "), ", S103)</f>
        <v>1.89,  (1.26 , 2.12), 5</v>
      </c>
      <c r="Y103">
        <f>MEDIAN(AG103:BF103)</f>
        <v>1.8963994785513201</v>
      </c>
      <c r="Z103">
        <f>_xlfn.PERCENTILE.INC(AG103:BF103, 0.25)</f>
        <v>1.2682005701616701</v>
      </c>
      <c r="AA103">
        <f>_xlfn.PERCENTILE.INC(AG103:BF103, 0.75)</f>
        <v>2.1215017210032299</v>
      </c>
      <c r="AB103" t="str">
        <f>CONCATENATE(TRUNC(AC103,2), ",  (", TRUNC(AD103,2), " , ", TRUNC(AE103,2), "), ", U103)</f>
        <v>3.1,  (2.46 , 3.52), 5</v>
      </c>
      <c r="AC103">
        <f>MEDIAN(BK103:CI103)</f>
        <v>3.1056485719609048</v>
      </c>
      <c r="AD103">
        <f>_xlfn.PERCENTILE.INC(BK103:CI103, 0.25)</f>
        <v>2.4688287167100578</v>
      </c>
      <c r="AE103">
        <f>_xlfn.PERCENTILE.INC(BK103:CI103, 0.75)</f>
        <v>3.5223585732738627</v>
      </c>
      <c r="AF103" s="48" t="s">
        <v>39</v>
      </c>
      <c r="AG103" s="58">
        <v>2.8195488086367302</v>
      </c>
      <c r="AH103" s="59" t="s">
        <v>162</v>
      </c>
      <c r="AI103" s="58">
        <v>1.0353460761712401</v>
      </c>
      <c r="AJ103" s="60">
        <v>1.2682005701616701</v>
      </c>
      <c r="AK103" s="63" t="s">
        <v>162</v>
      </c>
      <c r="AL103" s="59" t="s">
        <v>162</v>
      </c>
      <c r="AM103" s="58" t="s">
        <v>162</v>
      </c>
      <c r="AN103" s="63" t="s">
        <v>162</v>
      </c>
      <c r="AO103" s="61" t="s">
        <v>162</v>
      </c>
      <c r="AP103" s="61" t="s">
        <v>162</v>
      </c>
      <c r="AQ103">
        <v>1.8963994785513201</v>
      </c>
      <c r="AR103" s="58" t="s">
        <v>162</v>
      </c>
      <c r="AS103" s="61" t="s">
        <v>162</v>
      </c>
      <c r="AT103" s="58" t="s">
        <v>162</v>
      </c>
      <c r="AU103" s="58" t="s">
        <v>162</v>
      </c>
      <c r="AV103" s="58" t="s">
        <v>162</v>
      </c>
      <c r="AW103" s="116">
        <v>2.1215017210032299</v>
      </c>
      <c r="BJ103" s="48" t="s">
        <v>39</v>
      </c>
      <c r="BK103" s="58">
        <v>2.2898171326099801</v>
      </c>
      <c r="BL103" s="62" t="s">
        <v>162</v>
      </c>
      <c r="BM103" s="62" t="s">
        <v>162</v>
      </c>
      <c r="BN103" s="60" t="s">
        <v>162</v>
      </c>
      <c r="BO103" s="58">
        <v>4.0945895135836201</v>
      </c>
      <c r="BP103" s="58">
        <v>1.4709913135435499</v>
      </c>
      <c r="BQ103" s="58">
        <v>3.2054336749115202</v>
      </c>
      <c r="BR103" s="62" t="s">
        <v>162</v>
      </c>
      <c r="BS103" s="62" t="s">
        <v>162</v>
      </c>
      <c r="BT103" s="62" t="s">
        <v>162</v>
      </c>
      <c r="BU103" s="62" t="s">
        <v>162</v>
      </c>
      <c r="BV103" s="62" t="s">
        <v>162</v>
      </c>
      <c r="BW103" s="62" t="s">
        <v>162</v>
      </c>
      <c r="BX103" s="59" t="s">
        <v>162</v>
      </c>
      <c r="BY103" s="116">
        <v>3.6280002060613099</v>
      </c>
      <c r="BZ103" s="62" t="s">
        <v>162</v>
      </c>
      <c r="CA103" s="116">
        <v>3.0058634690102899</v>
      </c>
      <c r="CB103" t="s">
        <v>162</v>
      </c>
    </row>
    <row r="104" spans="2:80" x14ac:dyDescent="0.3">
      <c r="P104" t="s">
        <v>173</v>
      </c>
      <c r="Q104">
        <f>_xlfn.T.TEST(AG104:BF104,BK104:CI104,2,2)</f>
        <v>0.57976122016826048</v>
      </c>
      <c r="R104" t="s">
        <v>171</v>
      </c>
      <c r="S104" s="39">
        <v>4</v>
      </c>
      <c r="T104" s="39">
        <v>10</v>
      </c>
      <c r="U104" s="39">
        <v>4</v>
      </c>
      <c r="V104" s="39">
        <v>9</v>
      </c>
      <c r="W104" s="68"/>
      <c r="X104" t="str">
        <f t="shared" ref="X104:X107" si="6">CONCATENATE(TRUNC(Y104,2), ",  (", TRUNC(Z104,2), " , ", TRUNC(AA104,2), "), ", S104)</f>
        <v>1.76,  (1.37 , 1.85), 4</v>
      </c>
      <c r="Y104">
        <f>MEDIAN(AG104:BF104)</f>
        <v>1.7655404843806799</v>
      </c>
      <c r="Z104">
        <f>_xlfn.PERCENTILE.INC(AG104:BF104, 0.25)</f>
        <v>1.37572067569113</v>
      </c>
      <c r="AA104">
        <f>_xlfn.PERCENTILE.INC(AG104:BF104, 0.75)</f>
        <v>1.85086824941409</v>
      </c>
      <c r="AB104" t="str">
        <f t="shared" ref="AB104:AB107" si="7">CONCATENATE(TRUNC(AC104,2), ",  (", TRUNC(AD104,2), " , ", TRUNC(AE104,2), "), ", U104)</f>
        <v>2.13,  (0.98 , 2.37), 4</v>
      </c>
      <c r="AC104">
        <f>MEDIAN(BK104:CI104)</f>
        <v>2.1313729715246401</v>
      </c>
      <c r="AD104">
        <f>_xlfn.PERCENTILE.INC(BK104:CI104, 0.25)</f>
        <v>0.98223465597004855</v>
      </c>
      <c r="AE104">
        <f>_xlfn.PERCENTILE.INC(BK104:CI104, 0.75)</f>
        <v>2.3755160581467152</v>
      </c>
      <c r="AF104" s="48" t="s">
        <v>40</v>
      </c>
      <c r="AG104" s="58">
        <v>1.92065960521003</v>
      </c>
      <c r="AH104" s="59" t="s">
        <v>162</v>
      </c>
      <c r="AI104" s="58">
        <v>1.85086824941409</v>
      </c>
      <c r="AJ104" s="58">
        <v>1.37572067569113</v>
      </c>
      <c r="AK104" s="59" t="s">
        <v>162</v>
      </c>
      <c r="AL104" s="59" t="s">
        <v>162</v>
      </c>
      <c r="AM104" s="58" t="s">
        <v>162</v>
      </c>
      <c r="AN104" s="61" t="s">
        <v>162</v>
      </c>
      <c r="AO104" s="61" t="s">
        <v>162</v>
      </c>
      <c r="AP104" s="61" t="s">
        <v>162</v>
      </c>
      <c r="AQ104">
        <v>1.7655404843806799</v>
      </c>
      <c r="AR104" s="58" t="s">
        <v>162</v>
      </c>
      <c r="AS104" s="61" t="s">
        <v>162</v>
      </c>
      <c r="AT104" s="58" t="s">
        <v>162</v>
      </c>
      <c r="AU104" s="58" t="s">
        <v>162</v>
      </c>
      <c r="AV104" s="58" t="s">
        <v>162</v>
      </c>
      <c r="AW104" s="116">
        <v>0.96979518498437101</v>
      </c>
      <c r="BJ104" s="48" t="s">
        <v>40</v>
      </c>
      <c r="BK104" s="58">
        <v>1.11700846174386</v>
      </c>
      <c r="BL104" s="62" t="s">
        <v>162</v>
      </c>
      <c r="BM104" s="62" t="s">
        <v>162</v>
      </c>
      <c r="BN104" s="62" t="s">
        <v>162</v>
      </c>
      <c r="BO104" s="58">
        <v>2.2407940760098302</v>
      </c>
      <c r="BP104" s="58">
        <v>2.0313435100000001</v>
      </c>
      <c r="BQ104" s="58">
        <v>2.7796820045573698</v>
      </c>
      <c r="BR104" s="62" t="s">
        <v>162</v>
      </c>
      <c r="BS104" s="62" t="s">
        <v>162</v>
      </c>
      <c r="BT104" s="62" t="s">
        <v>162</v>
      </c>
      <c r="BU104" s="62" t="s">
        <v>162</v>
      </c>
      <c r="BV104" s="62" t="s">
        <v>162</v>
      </c>
      <c r="BW104" s="59" t="s">
        <v>162</v>
      </c>
      <c r="BX104" s="58">
        <v>0.57791323864861399</v>
      </c>
      <c r="BY104" s="116">
        <v>3.2902077967872501</v>
      </c>
      <c r="BZ104" s="116">
        <v>0.53421048616304501</v>
      </c>
      <c r="CA104" s="116">
        <v>2.2314024330492801</v>
      </c>
      <c r="CB104" t="s">
        <v>162</v>
      </c>
    </row>
    <row r="105" spans="2:80" x14ac:dyDescent="0.3">
      <c r="AF105" s="50" t="s">
        <v>41</v>
      </c>
      <c r="AN105" s="63" t="s">
        <v>162</v>
      </c>
      <c r="BJ105" s="50" t="s">
        <v>41</v>
      </c>
    </row>
    <row r="106" spans="2:80" x14ac:dyDescent="0.3">
      <c r="P106" t="s">
        <v>172</v>
      </c>
      <c r="Q106">
        <f>_xlfn.T.TEST(AG106:BF106,BK106:CI106,2,2)</f>
        <v>0.78487548785364369</v>
      </c>
      <c r="R106" t="s">
        <v>171</v>
      </c>
      <c r="S106" s="39">
        <v>1</v>
      </c>
      <c r="T106" s="39">
        <v>7</v>
      </c>
      <c r="U106" s="39">
        <v>1</v>
      </c>
      <c r="V106" s="39">
        <v>3</v>
      </c>
      <c r="W106" s="68"/>
      <c r="X106" t="str">
        <f t="shared" si="6"/>
        <v>1.74,  (1.41 , 1.88), 1</v>
      </c>
      <c r="Y106">
        <f>MEDIAN(AG106:BF106)</f>
        <v>1.7405020880969599</v>
      </c>
      <c r="Z106">
        <f>_xlfn.PERCENTILE.INC(AG106:BF106, 0.25)</f>
        <v>1.4161592237265099</v>
      </c>
      <c r="AA106">
        <f>_xlfn.PERCENTILE.INC(AG106:BF106, 0.75)</f>
        <v>1.8837692386865601</v>
      </c>
      <c r="AB106" t="str">
        <f t="shared" si="7"/>
        <v>1.55,  (1.01 , 2.61), 1</v>
      </c>
      <c r="AC106">
        <f>MEDIAN(BK106:CI106)</f>
        <v>1.55389702055308</v>
      </c>
      <c r="AD106">
        <f>_xlfn.PERCENTILE.INC(BK106:CI106, 0.25)</f>
        <v>1.0148573292651475</v>
      </c>
      <c r="AE106">
        <f>_xlfn.PERCENTILE.INC(BK106:CI106, 0.75)</f>
        <v>2.617188223854765</v>
      </c>
      <c r="AF106" s="48" t="s">
        <v>39</v>
      </c>
      <c r="AG106" t="s">
        <v>162</v>
      </c>
      <c r="AH106" t="s">
        <v>162</v>
      </c>
      <c r="AI106" t="s">
        <v>162</v>
      </c>
      <c r="AJ106" t="s">
        <v>162</v>
      </c>
      <c r="AK106" s="59" t="s">
        <v>162</v>
      </c>
      <c r="AL106" s="58">
        <v>1.4161592237265099</v>
      </c>
      <c r="AM106" s="58" t="s">
        <v>162</v>
      </c>
      <c r="AN106" s="58">
        <v>1.7405020880969599</v>
      </c>
      <c r="AO106" s="59" t="s">
        <v>162</v>
      </c>
      <c r="AP106" s="59" t="s">
        <v>162</v>
      </c>
      <c r="AQ106" s="58">
        <v>1.40354475865929</v>
      </c>
      <c r="AR106" s="58" t="s">
        <v>162</v>
      </c>
      <c r="AS106" s="58">
        <v>1.8837692386865601</v>
      </c>
      <c r="AT106" s="58" t="s">
        <v>162</v>
      </c>
      <c r="AU106" s="58" t="s">
        <v>162</v>
      </c>
      <c r="AV106" s="58" t="s">
        <v>162</v>
      </c>
      <c r="AW106" s="116">
        <v>2.2784577091748002</v>
      </c>
      <c r="BJ106" s="48" t="s">
        <v>39</v>
      </c>
      <c r="BK106" t="s">
        <v>162</v>
      </c>
      <c r="BL106" t="s">
        <v>162</v>
      </c>
      <c r="BM106" t="s">
        <v>162</v>
      </c>
      <c r="BN106" t="s">
        <v>162</v>
      </c>
      <c r="BO106" t="s">
        <v>162</v>
      </c>
      <c r="BP106" t="s">
        <v>162</v>
      </c>
      <c r="BQ106" t="s">
        <v>162</v>
      </c>
      <c r="BR106" t="s">
        <v>162</v>
      </c>
      <c r="BS106" s="58">
        <v>0.89316309394488103</v>
      </c>
      <c r="BT106" s="116">
        <v>2.72033210885757</v>
      </c>
      <c r="BU106" s="58">
        <v>2.51404433885196</v>
      </c>
      <c r="BV106" s="58">
        <v>3.4387836114208898</v>
      </c>
      <c r="BW106" s="59" t="s">
        <v>162</v>
      </c>
      <c r="BX106" s="58">
        <v>0.90489098867090501</v>
      </c>
      <c r="BY106" s="59" t="s">
        <v>162</v>
      </c>
      <c r="BZ106" s="116">
        <v>1.1248236698593901</v>
      </c>
      <c r="CA106" s="116">
        <v>1.55389702055308</v>
      </c>
      <c r="CB106" t="s">
        <v>162</v>
      </c>
    </row>
    <row r="107" spans="2:80" x14ac:dyDescent="0.3">
      <c r="P107" t="s">
        <v>172</v>
      </c>
      <c r="Q107">
        <f>_xlfn.T.TEST(AG107:BF107,BK107:CI107,2,2)</f>
        <v>0.24753485956738353</v>
      </c>
      <c r="R107" t="s">
        <v>171</v>
      </c>
      <c r="S107" s="39">
        <v>1</v>
      </c>
      <c r="T107" s="39">
        <v>7</v>
      </c>
      <c r="U107" s="39">
        <v>1</v>
      </c>
      <c r="V107" s="39">
        <v>3</v>
      </c>
      <c r="W107" s="68"/>
      <c r="X107" t="str">
        <f t="shared" si="6"/>
        <v>2.03,  (1.95 , 2.11), 1</v>
      </c>
      <c r="Y107">
        <f>MEDIAN(AG107:BF107)</f>
        <v>2.03522409276863</v>
      </c>
      <c r="Z107">
        <f>_xlfn.PERCENTILE.INC(AG107:BF107, 0.25)</f>
        <v>1.9550138213741151</v>
      </c>
      <c r="AA107">
        <f>_xlfn.PERCENTILE.INC(AG107:BF107, 0.75)</f>
        <v>2.115434364163145</v>
      </c>
      <c r="AB107" t="str">
        <f t="shared" si="7"/>
        <v>1.47,  (1.08 , 1.61), 1</v>
      </c>
      <c r="AC107">
        <f>MEDIAN(BK107:CI107)</f>
        <v>1.47958805400294</v>
      </c>
      <c r="AD107">
        <f>_xlfn.PERCENTILE.INC(BK107:CI107, 0.25)</f>
        <v>1.0890118619621401</v>
      </c>
      <c r="AE107">
        <f>_xlfn.PERCENTILE.INC(BK107:CI107, 0.75)</f>
        <v>1.619084691901935</v>
      </c>
      <c r="AF107" s="48" t="s">
        <v>40</v>
      </c>
      <c r="AG107" t="s">
        <v>162</v>
      </c>
      <c r="AH107" t="s">
        <v>162</v>
      </c>
      <c r="AI107" t="s">
        <v>162</v>
      </c>
      <c r="AJ107" t="s">
        <v>162</v>
      </c>
      <c r="AK107" s="59" t="s">
        <v>162</v>
      </c>
      <c r="AL107" s="59" t="s">
        <v>162</v>
      </c>
      <c r="AM107" s="58" t="s">
        <v>162</v>
      </c>
      <c r="AN107" s="61" t="s">
        <v>162</v>
      </c>
      <c r="AO107" s="59" t="s">
        <v>162</v>
      </c>
      <c r="AP107" s="59" t="s">
        <v>162</v>
      </c>
      <c r="AQ107" s="58">
        <v>1.8748035499796001</v>
      </c>
      <c r="AR107" s="58" t="s">
        <v>162</v>
      </c>
      <c r="AS107" s="61" t="s">
        <v>162</v>
      </c>
      <c r="AT107" s="58" t="s">
        <v>162</v>
      </c>
      <c r="AU107" s="58" t="s">
        <v>162</v>
      </c>
      <c r="AV107" s="58" t="s">
        <v>162</v>
      </c>
      <c r="AW107" s="116">
        <v>2.19564463555766</v>
      </c>
      <c r="BJ107" s="48" t="s">
        <v>40</v>
      </c>
      <c r="BK107" t="s">
        <v>162</v>
      </c>
      <c r="BL107" t="s">
        <v>162</v>
      </c>
      <c r="BM107" t="s">
        <v>162</v>
      </c>
      <c r="BN107" t="s">
        <v>162</v>
      </c>
      <c r="BO107" t="s">
        <v>162</v>
      </c>
      <c r="BP107" t="s">
        <v>162</v>
      </c>
      <c r="BQ107" t="s">
        <v>162</v>
      </c>
      <c r="BR107" t="s">
        <v>162</v>
      </c>
      <c r="BS107" s="58">
        <v>0.52535944249941502</v>
      </c>
      <c r="BT107" s="116">
        <v>1.35482418737221</v>
      </c>
      <c r="BU107" s="58">
        <v>1.70075307373037</v>
      </c>
      <c r="BV107" s="58">
        <v>2.5404880981468598</v>
      </c>
      <c r="BW107" s="62" t="s">
        <v>162</v>
      </c>
      <c r="BX107" s="58">
        <v>1.47958805400294</v>
      </c>
      <c r="BY107" s="58">
        <v>0.82319953655207001</v>
      </c>
      <c r="BZ107" s="59" t="s">
        <v>162</v>
      </c>
      <c r="CA107" s="116">
        <v>1.5374163100735001</v>
      </c>
      <c r="CB107" t="s">
        <v>162</v>
      </c>
    </row>
    <row r="108" spans="2:80" x14ac:dyDescent="0.3">
      <c r="AQ108" t="s">
        <v>231</v>
      </c>
    </row>
  </sheetData>
  <mergeCells count="8">
    <mergeCell ref="B62:D62"/>
    <mergeCell ref="B63:D63"/>
    <mergeCell ref="C15:D15"/>
    <mergeCell ref="E15:F15"/>
    <mergeCell ref="C25:D25"/>
    <mergeCell ref="E25:F25"/>
    <mergeCell ref="B50:D50"/>
    <mergeCell ref="B51:D51"/>
  </mergeCells>
  <pageMargins left="0.7" right="0.7" top="0.75" bottom="0.75" header="0.3" footer="0.3"/>
  <pageSetup scale="1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26D5-C3B6-4EA9-BD7C-EE671FE45A0D}">
  <sheetPr>
    <pageSetUpPr fitToPage="1"/>
  </sheetPr>
  <dimension ref="B1:CM108"/>
  <sheetViews>
    <sheetView zoomScale="85" zoomScaleNormal="85" workbookViewId="0">
      <pane xSplit="2" ySplit="7" topLeftCell="C14" activePane="bottomRight" state="frozen"/>
      <selection pane="topRight" activeCell="B1" sqref="B1"/>
      <selection pane="bottomLeft" activeCell="H30" sqref="H30"/>
      <selection pane="bottomRight" activeCell="C29" sqref="C29"/>
    </sheetView>
  </sheetViews>
  <sheetFormatPr defaultRowHeight="14.4" x14ac:dyDescent="0.3"/>
  <cols>
    <col min="1" max="1" width="5.44140625" customWidth="1"/>
    <col min="2" max="2" width="25.5546875" customWidth="1"/>
    <col min="3" max="3" width="20.88671875" customWidth="1"/>
    <col min="4" max="4" width="22.44140625" customWidth="1"/>
    <col min="5" max="8" width="22.6640625" customWidth="1"/>
    <col min="9" max="9" width="22.44140625" customWidth="1"/>
    <col min="10" max="11" width="22.6640625" customWidth="1"/>
    <col min="12" max="12" width="12.6640625" customWidth="1"/>
    <col min="13" max="13" width="18.6640625" customWidth="1"/>
    <col min="14" max="14" width="12.6640625" customWidth="1"/>
    <col min="15" max="15" width="27.6640625" customWidth="1"/>
    <col min="16" max="17" width="12.6640625" customWidth="1"/>
    <col min="18" max="18" width="32.88671875" customWidth="1"/>
    <col min="19" max="23" width="12.6640625" customWidth="1"/>
    <col min="24" max="24" width="26" customWidth="1"/>
    <col min="25" max="27" width="12.6640625" customWidth="1"/>
    <col min="28" max="28" width="26.109375" customWidth="1"/>
    <col min="29" max="31" width="12.6640625" customWidth="1"/>
    <col min="32" max="32" width="28.33203125" customWidth="1"/>
    <col min="33" max="61" width="12.6640625" customWidth="1"/>
    <col min="62" max="62" width="23.109375" customWidth="1"/>
    <col min="63" max="90" width="12.6640625" customWidth="1"/>
  </cols>
  <sheetData>
    <row r="1" spans="2:91" x14ac:dyDescent="0.3">
      <c r="B1" t="s">
        <v>42</v>
      </c>
      <c r="L1" s="11" t="s">
        <v>47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2"/>
      <c r="Z1" s="12"/>
      <c r="AA1" s="12"/>
      <c r="AB1" s="12"/>
      <c r="AC1" s="12"/>
      <c r="AD1" s="12"/>
      <c r="AE1" s="12"/>
      <c r="AG1" s="13" t="s">
        <v>48</v>
      </c>
      <c r="AH1" s="13"/>
      <c r="AI1" s="13"/>
      <c r="AJ1" s="13"/>
    </row>
    <row r="2" spans="2:91" x14ac:dyDescent="0.3">
      <c r="B2" s="99">
        <v>45056</v>
      </c>
      <c r="C2" t="s">
        <v>502</v>
      </c>
      <c r="X2" s="123"/>
      <c r="Y2" s="124" t="s">
        <v>404</v>
      </c>
      <c r="Z2" s="123"/>
      <c r="AA2" s="123"/>
    </row>
    <row r="3" spans="2:91" ht="28.8" x14ac:dyDescent="0.3">
      <c r="X3" s="28" t="s">
        <v>158</v>
      </c>
      <c r="Y3" s="28" t="s">
        <v>147</v>
      </c>
      <c r="Z3" s="28" t="s">
        <v>156</v>
      </c>
      <c r="AA3" s="28" t="s">
        <v>157</v>
      </c>
      <c r="AG3" s="14"/>
      <c r="AH3" s="15" t="s">
        <v>49</v>
      </c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J3" s="16"/>
      <c r="BK3" s="17"/>
      <c r="BL3" s="17"/>
      <c r="BM3" s="17"/>
      <c r="BN3" s="17"/>
      <c r="BO3" s="18" t="s">
        <v>50</v>
      </c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</row>
    <row r="4" spans="2:91" x14ac:dyDescent="0.3">
      <c r="X4" t="str">
        <f>CONCATENATE(TRUNC(Y4,2), ",  (", TRUNC(Z4,2), " , ", TRUNC(AA4,2), "), ", S4)</f>
        <v xml:space="preserve">10.91,  (9.25 , 12.58), </v>
      </c>
      <c r="Y4">
        <f>MEDIAN(AG9:CC9)</f>
        <v>10.916666666666666</v>
      </c>
      <c r="Z4">
        <f>_xlfn.PERCENTILE.INC(AG9:CC9, 0.25)</f>
        <v>9.25</v>
      </c>
      <c r="AA4">
        <f>_xlfn.PERCENTILE.INC(AG9:CC9, 0.75)</f>
        <v>12.583333333333334</v>
      </c>
      <c r="BJ4" s="16"/>
    </row>
    <row r="5" spans="2:91" ht="43.2" x14ac:dyDescent="0.3">
      <c r="I5" s="1"/>
      <c r="J5" s="1"/>
      <c r="AF5" s="1" t="s">
        <v>96</v>
      </c>
      <c r="AG5" s="1" t="s">
        <v>51</v>
      </c>
      <c r="AH5" s="1" t="s">
        <v>52</v>
      </c>
      <c r="AI5" s="1" t="s">
        <v>53</v>
      </c>
      <c r="AJ5" s="1" t="s">
        <v>54</v>
      </c>
      <c r="AK5" s="1" t="s">
        <v>55</v>
      </c>
      <c r="AL5" s="1" t="s">
        <v>56</v>
      </c>
      <c r="AM5" s="1" t="s">
        <v>97</v>
      </c>
      <c r="AN5" s="29" t="s">
        <v>98</v>
      </c>
      <c r="AO5" s="29" t="s">
        <v>99</v>
      </c>
      <c r="AP5" s="29" t="s">
        <v>100</v>
      </c>
      <c r="AQ5" s="29" t="s">
        <v>101</v>
      </c>
      <c r="AR5" s="29" t="s">
        <v>102</v>
      </c>
      <c r="AS5" s="29" t="s">
        <v>103</v>
      </c>
      <c r="AT5" s="29" t="s">
        <v>104</v>
      </c>
      <c r="AU5" s="1" t="s">
        <v>105</v>
      </c>
      <c r="AV5" s="1" t="s">
        <v>106</v>
      </c>
      <c r="AW5" s="1" t="s">
        <v>266</v>
      </c>
      <c r="AX5" s="121" t="s">
        <v>394</v>
      </c>
      <c r="AY5" s="121" t="s">
        <v>395</v>
      </c>
      <c r="AZ5" s="36" t="s">
        <v>396</v>
      </c>
      <c r="BA5" s="1" t="s">
        <v>111</v>
      </c>
      <c r="BB5" s="1" t="s">
        <v>112</v>
      </c>
      <c r="BC5" s="1" t="s">
        <v>113</v>
      </c>
      <c r="BD5" s="1" t="s">
        <v>114</v>
      </c>
      <c r="BE5" s="1" t="s">
        <v>115</v>
      </c>
      <c r="BF5" s="1" t="s">
        <v>116</v>
      </c>
      <c r="BG5" s="1"/>
      <c r="BI5" s="30" t="s">
        <v>117</v>
      </c>
      <c r="BJ5" s="16"/>
      <c r="BS5" s="29" t="s">
        <v>118</v>
      </c>
      <c r="BT5" s="31" t="s">
        <v>119</v>
      </c>
      <c r="BU5" s="31" t="s">
        <v>120</v>
      </c>
      <c r="BV5" s="31" t="s">
        <v>121</v>
      </c>
      <c r="BW5" s="32" t="s">
        <v>122</v>
      </c>
      <c r="BX5" s="32" t="s">
        <v>123</v>
      </c>
      <c r="BY5" s="33" t="s">
        <v>124</v>
      </c>
      <c r="BZ5" s="33" t="s">
        <v>125</v>
      </c>
      <c r="CA5" s="31" t="s">
        <v>268</v>
      </c>
      <c r="CB5" s="92" t="s">
        <v>269</v>
      </c>
      <c r="CC5" s="31" t="s">
        <v>398</v>
      </c>
      <c r="CD5" s="33" t="s">
        <v>129</v>
      </c>
      <c r="CE5" s="33" t="s">
        <v>130</v>
      </c>
      <c r="CF5" s="33" t="s">
        <v>131</v>
      </c>
      <c r="CG5" s="33" t="s">
        <v>132</v>
      </c>
      <c r="CH5" s="33" t="s">
        <v>133</v>
      </c>
      <c r="CI5" s="33" t="s">
        <v>134</v>
      </c>
    </row>
    <row r="6" spans="2:91" ht="43.2" x14ac:dyDescent="0.3">
      <c r="P6" s="38" t="s">
        <v>163</v>
      </c>
      <c r="AF6" t="s">
        <v>135</v>
      </c>
      <c r="AG6" s="1"/>
      <c r="AH6" s="1"/>
      <c r="AI6" s="1"/>
      <c r="AJ6" s="1"/>
      <c r="AK6" s="29" t="s">
        <v>402</v>
      </c>
      <c r="AL6" s="29" t="s">
        <v>402</v>
      </c>
      <c r="AM6" s="1"/>
      <c r="AN6" s="29" t="s">
        <v>402</v>
      </c>
      <c r="AO6" s="29" t="s">
        <v>402</v>
      </c>
      <c r="AP6" s="29" t="s">
        <v>402</v>
      </c>
      <c r="AQ6" s="29"/>
      <c r="AR6" s="29"/>
      <c r="AS6" s="29"/>
      <c r="AT6" s="29"/>
      <c r="AW6" s="122" t="s">
        <v>403</v>
      </c>
      <c r="BI6">
        <v>12</v>
      </c>
      <c r="BJ6" s="16"/>
      <c r="BS6" s="29" t="s">
        <v>402</v>
      </c>
      <c r="BU6" s="29" t="s">
        <v>402</v>
      </c>
      <c r="BW6" s="29" t="s">
        <v>402</v>
      </c>
      <c r="BX6" s="29" t="s">
        <v>402</v>
      </c>
      <c r="CC6" s="29" t="s">
        <v>402</v>
      </c>
    </row>
    <row r="7" spans="2:91" s="24" customFormat="1" ht="28.8" x14ac:dyDescent="0.3">
      <c r="H7" s="28" t="s">
        <v>317</v>
      </c>
      <c r="I7" s="28" t="s">
        <v>320</v>
      </c>
      <c r="L7" s="28" t="s">
        <v>158</v>
      </c>
      <c r="M7" s="1" t="s">
        <v>240</v>
      </c>
      <c r="N7" t="s">
        <v>241</v>
      </c>
      <c r="O7" t="s">
        <v>8</v>
      </c>
      <c r="P7" s="28" t="s">
        <v>158</v>
      </c>
      <c r="Q7" t="s">
        <v>43</v>
      </c>
      <c r="R7" t="s">
        <v>164</v>
      </c>
      <c r="S7" s="15" t="s">
        <v>49</v>
      </c>
      <c r="T7" s="15"/>
      <c r="U7" s="18" t="s">
        <v>50</v>
      </c>
      <c r="V7" s="18"/>
      <c r="W7"/>
      <c r="X7" s="14"/>
      <c r="Y7" s="15" t="s">
        <v>49</v>
      </c>
      <c r="Z7" s="14"/>
      <c r="AA7" s="14"/>
      <c r="AB7" s="17"/>
      <c r="AC7" s="18" t="s">
        <v>50</v>
      </c>
      <c r="AD7" s="17"/>
      <c r="AE7" s="17"/>
      <c r="AF7" s="1" t="s">
        <v>377</v>
      </c>
      <c r="AG7" s="19" t="s">
        <v>51</v>
      </c>
      <c r="AH7" s="20" t="s">
        <v>52</v>
      </c>
      <c r="AI7" s="19" t="s">
        <v>53</v>
      </c>
      <c r="AJ7" s="19" t="s">
        <v>54</v>
      </c>
      <c r="AK7" s="35" t="s">
        <v>55</v>
      </c>
      <c r="AL7" s="35" t="s">
        <v>56</v>
      </c>
      <c r="AM7" s="20" t="s">
        <v>57</v>
      </c>
      <c r="AN7" s="35" t="s">
        <v>58</v>
      </c>
      <c r="AO7" s="20" t="s">
        <v>59</v>
      </c>
      <c r="AP7" s="35" t="s">
        <v>60</v>
      </c>
      <c r="AQ7" s="19" t="s">
        <v>61</v>
      </c>
      <c r="AR7" t="s">
        <v>143</v>
      </c>
      <c r="AS7" s="19" t="s">
        <v>62</v>
      </c>
      <c r="AT7" t="s">
        <v>143</v>
      </c>
      <c r="AU7" s="34" t="s">
        <v>105</v>
      </c>
      <c r="AV7" s="34" t="s">
        <v>106</v>
      </c>
      <c r="AW7" s="19" t="s">
        <v>266</v>
      </c>
      <c r="AX7" s="121" t="s">
        <v>394</v>
      </c>
      <c r="AY7" s="121" t="s">
        <v>395</v>
      </c>
      <c r="AZ7" s="36" t="s">
        <v>396</v>
      </c>
      <c r="BA7" s="1"/>
      <c r="BB7" s="1"/>
      <c r="BC7" s="1"/>
      <c r="BD7" s="1"/>
      <c r="BE7" s="1"/>
      <c r="BF7" s="1"/>
      <c r="BG7"/>
      <c r="BH7" s="1"/>
      <c r="BI7" s="1"/>
      <c r="BJ7" s="21"/>
      <c r="BK7" s="19" t="s">
        <v>63</v>
      </c>
      <c r="BL7" s="19" t="s">
        <v>64</v>
      </c>
      <c r="BM7" s="36" t="s">
        <v>65</v>
      </c>
      <c r="BN7" s="22" t="s">
        <v>66</v>
      </c>
      <c r="BO7" s="19" t="s">
        <v>67</v>
      </c>
      <c r="BP7" s="36" t="s">
        <v>68</v>
      </c>
      <c r="BQ7" s="19" t="s">
        <v>69</v>
      </c>
      <c r="BR7" s="19" t="s">
        <v>70</v>
      </c>
      <c r="BS7" s="19" t="s">
        <v>71</v>
      </c>
      <c r="BT7" s="31" t="s">
        <v>119</v>
      </c>
      <c r="BU7" s="31" t="s">
        <v>120</v>
      </c>
      <c r="BV7" s="31" t="s">
        <v>121</v>
      </c>
      <c r="BW7" s="32" t="s">
        <v>122</v>
      </c>
      <c r="BX7" s="32" t="s">
        <v>123</v>
      </c>
      <c r="BY7" s="31" t="s">
        <v>258</v>
      </c>
      <c r="BZ7" s="31" t="s">
        <v>267</v>
      </c>
      <c r="CA7" s="31" t="s">
        <v>268</v>
      </c>
      <c r="CB7" s="92" t="s">
        <v>269</v>
      </c>
      <c r="CC7" s="31" t="s">
        <v>398</v>
      </c>
      <c r="CD7" s="33" t="s">
        <v>129</v>
      </c>
      <c r="CE7" s="33" t="s">
        <v>130</v>
      </c>
      <c r="CF7" s="33" t="s">
        <v>131</v>
      </c>
      <c r="CG7" s="33" t="s">
        <v>132</v>
      </c>
      <c r="CH7" s="33" t="s">
        <v>133</v>
      </c>
      <c r="CI7" s="33" t="s">
        <v>134</v>
      </c>
      <c r="CJ7"/>
      <c r="CK7"/>
      <c r="CL7"/>
      <c r="CM7"/>
    </row>
    <row r="8" spans="2:91" ht="31.2" x14ac:dyDescent="0.5">
      <c r="E8" s="94"/>
      <c r="F8" s="73"/>
      <c r="G8" s="73"/>
      <c r="H8" s="73"/>
      <c r="X8" s="28" t="s">
        <v>158</v>
      </c>
      <c r="Y8" s="28" t="s">
        <v>147</v>
      </c>
      <c r="Z8" s="28" t="s">
        <v>156</v>
      </c>
      <c r="AA8" s="28" t="s">
        <v>157</v>
      </c>
      <c r="AB8" s="28" t="s">
        <v>158</v>
      </c>
      <c r="AC8" s="28" t="s">
        <v>147</v>
      </c>
      <c r="AD8" s="28" t="s">
        <v>156</v>
      </c>
      <c r="AE8" s="28" t="s">
        <v>157</v>
      </c>
      <c r="AF8" s="1" t="s">
        <v>187</v>
      </c>
      <c r="AG8" t="s">
        <v>188</v>
      </c>
      <c r="AH8" t="s">
        <v>189</v>
      </c>
      <c r="AI8" t="s">
        <v>190</v>
      </c>
      <c r="AJ8" t="s">
        <v>191</v>
      </c>
      <c r="AK8" t="s">
        <v>192</v>
      </c>
      <c r="AL8" t="s">
        <v>193</v>
      </c>
      <c r="AM8" t="s">
        <v>194</v>
      </c>
      <c r="AN8" t="s">
        <v>194</v>
      </c>
      <c r="AO8" t="s">
        <v>195</v>
      </c>
      <c r="AP8" t="s">
        <v>196</v>
      </c>
      <c r="AQ8" t="s">
        <v>197</v>
      </c>
      <c r="AR8" t="s">
        <v>198</v>
      </c>
      <c r="AS8" t="s">
        <v>199</v>
      </c>
      <c r="AT8" t="s">
        <v>200</v>
      </c>
      <c r="AW8" t="s">
        <v>378</v>
      </c>
      <c r="AZ8" t="s">
        <v>405</v>
      </c>
      <c r="BK8" t="s">
        <v>202</v>
      </c>
      <c r="BL8" t="s">
        <v>198</v>
      </c>
      <c r="BM8" t="s">
        <v>203</v>
      </c>
      <c r="BN8" t="s">
        <v>204</v>
      </c>
      <c r="BO8" t="s">
        <v>205</v>
      </c>
      <c r="BP8" t="s">
        <v>206</v>
      </c>
      <c r="BQ8" t="s">
        <v>207</v>
      </c>
      <c r="BR8" t="s">
        <v>208</v>
      </c>
      <c r="BS8" t="s">
        <v>209</v>
      </c>
      <c r="BT8" t="s">
        <v>210</v>
      </c>
      <c r="BU8" t="s">
        <v>379</v>
      </c>
      <c r="BV8" t="s">
        <v>203</v>
      </c>
      <c r="BW8" t="s">
        <v>213</v>
      </c>
      <c r="BX8" t="s">
        <v>211</v>
      </c>
      <c r="BY8" t="s">
        <v>380</v>
      </c>
      <c r="BZ8" t="s">
        <v>381</v>
      </c>
      <c r="CA8" t="s">
        <v>382</v>
      </c>
      <c r="CB8" t="s">
        <v>383</v>
      </c>
      <c r="CC8" t="s">
        <v>406</v>
      </c>
    </row>
    <row r="9" spans="2:91" ht="23.4" x14ac:dyDescent="0.45">
      <c r="B9" t="s">
        <v>316</v>
      </c>
      <c r="C9" s="7">
        <f>B2</f>
        <v>45056</v>
      </c>
      <c r="E9" s="94" t="s">
        <v>315</v>
      </c>
      <c r="X9" t="str">
        <f>CONCATENATE(TRUNC(Y9,2), ",  (", TRUNC(Z9,2), " , ", TRUNC(AA9,2), "), ", S9)</f>
        <v xml:space="preserve">11.7,  (10.58 , 14.2), </v>
      </c>
      <c r="Y9">
        <f>MEDIAN(AG9:BF9)</f>
        <v>11.708333333333332</v>
      </c>
      <c r="Z9">
        <f>_xlfn.PERCENTILE.INC(AG9:BF9, 0.25)</f>
        <v>10.583333333333334</v>
      </c>
      <c r="AA9">
        <f>_xlfn.PERCENTILE.INC(AG9:BF9, 0.75)</f>
        <v>14.208333333333334</v>
      </c>
      <c r="AB9" t="str">
        <f>CONCATENATE(TRUNC(AC9,2), ",  (", TRUNC(AD9,2), " , ", TRUNC(AE9,2), "), ", U9)</f>
        <v xml:space="preserve">10.58,  (8.2 , 12.12), </v>
      </c>
      <c r="AC9">
        <f>MEDIAN(BK9:CI9)</f>
        <v>10.583333333333334</v>
      </c>
      <c r="AD9">
        <f>_xlfn.PERCENTILE.INC(BK9:CI9, 0.25)</f>
        <v>8.2083333333333321</v>
      </c>
      <c r="AE9">
        <f>_xlfn.PERCENTILE.INC(BK9:CI9, 0.75)</f>
        <v>12.125</v>
      </c>
      <c r="AF9" s="1" t="s">
        <v>201</v>
      </c>
      <c r="AG9">
        <f>AG10/12</f>
        <v>12.5</v>
      </c>
      <c r="AH9" t="s">
        <v>162</v>
      </c>
      <c r="AI9">
        <f>AI10/12</f>
        <v>10.5</v>
      </c>
      <c r="AJ9">
        <f>AJ10/12</f>
        <v>10.916666666666666</v>
      </c>
      <c r="AK9">
        <f>AK10/12</f>
        <v>14.833333333333334</v>
      </c>
      <c r="AL9">
        <f>AL10/12</f>
        <v>9.8333333333333339</v>
      </c>
      <c r="AM9" t="s">
        <v>162</v>
      </c>
      <c r="AN9">
        <v>18</v>
      </c>
      <c r="AO9" t="s">
        <v>162</v>
      </c>
      <c r="AP9" t="s">
        <v>162</v>
      </c>
      <c r="AQ9">
        <f>AQ10/12</f>
        <v>10.833333333333334</v>
      </c>
      <c r="AR9" s="27" t="s">
        <v>162</v>
      </c>
      <c r="AS9">
        <f>AS10/12</f>
        <v>14.75</v>
      </c>
      <c r="AT9" s="27" t="s">
        <v>162</v>
      </c>
      <c r="AU9" s="27" t="s">
        <v>162</v>
      </c>
      <c r="AV9" s="27" t="s">
        <v>162</v>
      </c>
      <c r="AW9">
        <f>AW10/12</f>
        <v>12.583333333333334</v>
      </c>
      <c r="AX9" s="27" t="s">
        <v>162</v>
      </c>
      <c r="AY9" s="27" t="s">
        <v>162</v>
      </c>
      <c r="AZ9">
        <f>AZ10/12</f>
        <v>9.5833333333333339</v>
      </c>
      <c r="BK9" s="89">
        <f t="shared" ref="BK9:CC9" si="0">BK10/12</f>
        <v>10.583333333333334</v>
      </c>
      <c r="BL9" s="89">
        <f t="shared" si="0"/>
        <v>7.083333333333333</v>
      </c>
      <c r="BM9" s="89">
        <f t="shared" si="0"/>
        <v>7.333333333333333</v>
      </c>
      <c r="BN9" s="89">
        <f t="shared" si="0"/>
        <v>7.75</v>
      </c>
      <c r="BO9" s="89">
        <f t="shared" si="0"/>
        <v>11.166666666666666</v>
      </c>
      <c r="BP9" s="89">
        <f t="shared" si="0"/>
        <v>9.25</v>
      </c>
      <c r="BQ9" s="89">
        <f t="shared" si="0"/>
        <v>9.5</v>
      </c>
      <c r="BR9" s="89">
        <f t="shared" si="0"/>
        <v>6.75</v>
      </c>
      <c r="BS9" s="89">
        <f t="shared" si="0"/>
        <v>13.416666666666666</v>
      </c>
      <c r="BT9" s="89">
        <f t="shared" si="0"/>
        <v>8.6666666666666661</v>
      </c>
      <c r="BU9" s="89">
        <f t="shared" si="0"/>
        <v>11.833333333333334</v>
      </c>
      <c r="BV9" s="89">
        <f t="shared" si="0"/>
        <v>7.333333333333333</v>
      </c>
      <c r="BW9" s="89">
        <f t="shared" si="0"/>
        <v>15</v>
      </c>
      <c r="BX9" s="89">
        <f t="shared" si="0"/>
        <v>11.833333333333334</v>
      </c>
      <c r="BY9" s="89">
        <f t="shared" si="0"/>
        <v>11.916666666666666</v>
      </c>
      <c r="BZ9" s="89">
        <f t="shared" si="0"/>
        <v>15.75</v>
      </c>
      <c r="CA9" s="89">
        <f t="shared" si="0"/>
        <v>12.333333333333334</v>
      </c>
      <c r="CB9" s="89">
        <f t="shared" si="0"/>
        <v>9.0833333333333339</v>
      </c>
      <c r="CC9" s="89">
        <f t="shared" si="0"/>
        <v>18.166666666666668</v>
      </c>
    </row>
    <row r="10" spans="2:91" ht="23.4" x14ac:dyDescent="0.45">
      <c r="C10" s="7"/>
      <c r="E10" s="94"/>
      <c r="AF10" s="1" t="s">
        <v>72</v>
      </c>
      <c r="AG10">
        <v>150</v>
      </c>
      <c r="AH10" t="s">
        <v>162</v>
      </c>
      <c r="AI10">
        <v>126</v>
      </c>
      <c r="AJ10">
        <v>131</v>
      </c>
      <c r="AK10">
        <v>178</v>
      </c>
      <c r="AL10">
        <v>118</v>
      </c>
      <c r="AM10" t="s">
        <v>162</v>
      </c>
      <c r="AN10">
        <v>224</v>
      </c>
      <c r="AO10" t="s">
        <v>162</v>
      </c>
      <c r="AP10" t="s">
        <v>162</v>
      </c>
      <c r="AQ10">
        <v>130</v>
      </c>
      <c r="AR10" s="27" t="s">
        <v>162</v>
      </c>
      <c r="AS10">
        <v>177</v>
      </c>
      <c r="AT10" s="27" t="s">
        <v>162</v>
      </c>
      <c r="AU10" s="27" t="s">
        <v>162</v>
      </c>
      <c r="AV10" s="27" t="s">
        <v>162</v>
      </c>
      <c r="AW10">
        <v>151</v>
      </c>
      <c r="AX10" s="27" t="s">
        <v>162</v>
      </c>
      <c r="AY10" s="27" t="s">
        <v>162</v>
      </c>
      <c r="AZ10">
        <v>115</v>
      </c>
      <c r="BK10">
        <v>127</v>
      </c>
      <c r="BL10">
        <v>85</v>
      </c>
      <c r="BM10">
        <v>88</v>
      </c>
      <c r="BN10">
        <v>93</v>
      </c>
      <c r="BO10">
        <v>134</v>
      </c>
      <c r="BP10">
        <v>111</v>
      </c>
      <c r="BQ10" s="27">
        <v>114</v>
      </c>
      <c r="BR10" s="1">
        <v>81</v>
      </c>
      <c r="BS10">
        <v>161</v>
      </c>
      <c r="BT10">
        <v>104</v>
      </c>
      <c r="BU10">
        <v>142</v>
      </c>
      <c r="BV10">
        <v>88</v>
      </c>
      <c r="BW10">
        <v>180</v>
      </c>
      <c r="BX10">
        <v>142</v>
      </c>
      <c r="BY10">
        <v>143</v>
      </c>
      <c r="BZ10">
        <v>189</v>
      </c>
      <c r="CA10">
        <v>148</v>
      </c>
      <c r="CB10">
        <v>109</v>
      </c>
      <c r="CC10">
        <v>218</v>
      </c>
    </row>
    <row r="11" spans="2:91" x14ac:dyDescent="0.3">
      <c r="S11" s="38" t="s">
        <v>218</v>
      </c>
      <c r="T11" s="38"/>
      <c r="U11" s="38"/>
      <c r="V11" s="38"/>
      <c r="W11" s="38"/>
      <c r="X11" s="28"/>
      <c r="Y11" s="28"/>
      <c r="Z11" s="28"/>
      <c r="AA11" s="28"/>
      <c r="AB11" s="28"/>
      <c r="AC11" s="28"/>
      <c r="AD11" s="28"/>
      <c r="AE11" s="28"/>
      <c r="AG11" s="28" t="s">
        <v>178</v>
      </c>
      <c r="AH11" t="s">
        <v>215</v>
      </c>
      <c r="BK11" s="28" t="s">
        <v>178</v>
      </c>
      <c r="BL11" t="s">
        <v>215</v>
      </c>
    </row>
    <row r="12" spans="2:91" ht="23.4" x14ac:dyDescent="0.45">
      <c r="B12" t="s">
        <v>355</v>
      </c>
      <c r="D12" s="94" t="s">
        <v>315</v>
      </c>
      <c r="S12" t="s">
        <v>219</v>
      </c>
      <c r="X12" t="s">
        <v>220</v>
      </c>
      <c r="AG12" t="s">
        <v>177</v>
      </c>
      <c r="AH12" t="s">
        <v>400</v>
      </c>
      <c r="AK12" t="s">
        <v>401</v>
      </c>
      <c r="BK12" t="s">
        <v>177</v>
      </c>
      <c r="BL12" t="s">
        <v>400</v>
      </c>
      <c r="BO12" t="s">
        <v>401</v>
      </c>
    </row>
    <row r="13" spans="2:91" x14ac:dyDescent="0.3">
      <c r="R13" s="28" t="s">
        <v>178</v>
      </c>
      <c r="S13" t="s">
        <v>215</v>
      </c>
      <c r="X13" t="s">
        <v>220</v>
      </c>
    </row>
    <row r="14" spans="2:91" ht="15" thickBot="1" x14ac:dyDescent="0.35">
      <c r="S14" t="s">
        <v>259</v>
      </c>
      <c r="T14" t="s">
        <v>260</v>
      </c>
      <c r="U14" t="s">
        <v>259</v>
      </c>
      <c r="V14" t="s">
        <v>260</v>
      </c>
      <c r="W14" s="28"/>
      <c r="AF14" s="49" t="s">
        <v>74</v>
      </c>
      <c r="BJ14" s="49" t="s">
        <v>74</v>
      </c>
    </row>
    <row r="15" spans="2:91" x14ac:dyDescent="0.3">
      <c r="B15" s="75"/>
      <c r="C15" s="181" t="s">
        <v>310</v>
      </c>
      <c r="D15" s="182"/>
      <c r="E15" s="173" t="s">
        <v>41</v>
      </c>
      <c r="F15" s="174"/>
      <c r="AF15" s="50" t="s">
        <v>38</v>
      </c>
      <c r="BJ15" s="50" t="s">
        <v>38</v>
      </c>
    </row>
    <row r="16" spans="2:91" x14ac:dyDescent="0.3">
      <c r="B16" s="84"/>
      <c r="C16" s="127" t="s">
        <v>447</v>
      </c>
      <c r="D16" s="128" t="s">
        <v>308</v>
      </c>
      <c r="E16" s="127" t="s">
        <v>447</v>
      </c>
      <c r="F16" s="129" t="s">
        <v>308</v>
      </c>
      <c r="O16" t="s">
        <v>261</v>
      </c>
      <c r="P16" t="s">
        <v>217</v>
      </c>
      <c r="Q16">
        <f>_xlfn.T.TEST(AG16:BF16,BK16:CI16,2,2)</f>
        <v>1.31715995400674E-2</v>
      </c>
      <c r="R16" t="s">
        <v>171</v>
      </c>
      <c r="S16" s="39"/>
      <c r="T16" s="39"/>
      <c r="U16" s="39"/>
      <c r="V16" s="39"/>
      <c r="W16" s="68"/>
      <c r="X16" t="str">
        <f>CONCATENATE(TRUNC(Y16,2), ",  (", TRUNC(Z16,2), " , ", TRUNC(AA16,2), "), ", S16)</f>
        <v xml:space="preserve">2.03,  (1.31 , 2.44), </v>
      </c>
      <c r="Y16">
        <f>MEDIAN(AG16:BF16)</f>
        <v>2.0310106221246098</v>
      </c>
      <c r="Z16">
        <f>_xlfn.PERCENTILE.INC(AG16:BF16, 0.25)</f>
        <v>1.3183050366020126</v>
      </c>
      <c r="AA16">
        <f>_xlfn.PERCENTILE.INC(AG16:BF16, 0.75)</f>
        <v>2.4406173574658698</v>
      </c>
      <c r="AB16" t="str">
        <f>CONCATENATE(TRUNC(AC16,2), ",  (", TRUNC(AD16,2), " , ", TRUNC(AE16,2), "), ", U16)</f>
        <v xml:space="preserve">3.49,  (3 , 4.41), </v>
      </c>
      <c r="AC16">
        <f>MEDIAN(BK16:CI16)</f>
        <v>3.4916171583665299</v>
      </c>
      <c r="AD16">
        <f>_xlfn.PERCENTILE.INC(BK16:CI16, 0.25)</f>
        <v>3.0058634690102899</v>
      </c>
      <c r="AE16">
        <f>_xlfn.PERCENTILE.INC(BK16:CI16, 0.75)</f>
        <v>4.4192218068685998</v>
      </c>
      <c r="AF16" s="48" t="s">
        <v>39</v>
      </c>
      <c r="AG16" t="s">
        <v>162</v>
      </c>
      <c r="AH16" t="s">
        <v>162</v>
      </c>
      <c r="AI16" s="116">
        <v>1.0353460761712401</v>
      </c>
      <c r="AJ16" s="115">
        <v>1.2682005701616701</v>
      </c>
      <c r="AK16" s="116">
        <v>1.4686184359230401</v>
      </c>
      <c r="AL16" s="59" t="s">
        <v>162</v>
      </c>
      <c r="AM16" s="58" t="s">
        <v>162</v>
      </c>
      <c r="AN16" s="116">
        <v>3.8057337647892302</v>
      </c>
      <c r="AO16" s="117" t="s">
        <v>162</v>
      </c>
      <c r="AP16" s="59" t="s">
        <v>162</v>
      </c>
      <c r="AQ16" s="116">
        <v>2.6795098282827001</v>
      </c>
      <c r="AR16" s="58" t="s">
        <v>162</v>
      </c>
      <c r="AS16" s="116">
        <v>2.0715395043729901</v>
      </c>
      <c r="AT16" s="58" t="s">
        <v>162</v>
      </c>
      <c r="AU16" s="58" t="s">
        <v>162</v>
      </c>
      <c r="AV16" s="58" t="s">
        <v>162</v>
      </c>
      <c r="AW16" s="116">
        <v>2.1215017210032299</v>
      </c>
      <c r="AX16" s="58" t="s">
        <v>162</v>
      </c>
      <c r="AY16" s="58" t="s">
        <v>162</v>
      </c>
      <c r="AZ16" s="116">
        <v>2.5469892362867501</v>
      </c>
      <c r="BA16" s="58" t="s">
        <v>162</v>
      </c>
      <c r="BB16" s="116">
        <v>1.0042222912144501</v>
      </c>
      <c r="BC16" s="116">
        <v>1.99048173987623</v>
      </c>
      <c r="BJ16" s="48" t="s">
        <v>39</v>
      </c>
      <c r="BK16" s="116">
        <v>5.1297123146644399</v>
      </c>
      <c r="BL16" s="116">
        <v>4.4192218068685998</v>
      </c>
      <c r="BM16" s="62" t="s">
        <v>162</v>
      </c>
      <c r="BN16" s="59" t="s">
        <v>162</v>
      </c>
      <c r="BO16" s="58">
        <v>4.0945895135836201</v>
      </c>
      <c r="BP16" s="59" t="s">
        <v>162</v>
      </c>
      <c r="BQ16" s="58">
        <v>3.2054336749115202</v>
      </c>
      <c r="BR16" s="58">
        <v>3.0185355998543599</v>
      </c>
      <c r="BS16" s="116">
        <v>5.3625568256932699</v>
      </c>
      <c r="BT16" s="58">
        <v>4.4483988255018403</v>
      </c>
      <c r="BU16" s="116">
        <v>1.88771703054219</v>
      </c>
      <c r="BV16" s="58">
        <v>3.4916171583665299</v>
      </c>
      <c r="BW16" s="116">
        <v>0.89080942531380403</v>
      </c>
      <c r="BX16" s="59" t="s">
        <v>162</v>
      </c>
      <c r="BY16" s="116">
        <v>3.6280002060613099</v>
      </c>
      <c r="BZ16" t="s">
        <v>162</v>
      </c>
      <c r="CA16" s="116">
        <v>3.0058634690102899</v>
      </c>
      <c r="CB16" t="s">
        <v>162</v>
      </c>
      <c r="CC16" s="116">
        <v>1.16601088242468</v>
      </c>
    </row>
    <row r="17" spans="2:81" ht="15" customHeight="1" x14ac:dyDescent="0.3">
      <c r="B17" s="76" t="s">
        <v>3</v>
      </c>
      <c r="C17" s="102" t="s">
        <v>492</v>
      </c>
      <c r="D17" s="111" t="s">
        <v>493</v>
      </c>
      <c r="E17" s="108" t="s">
        <v>494</v>
      </c>
      <c r="F17" s="103" t="s">
        <v>495</v>
      </c>
      <c r="H17" s="99">
        <v>45054</v>
      </c>
      <c r="I17" t="s">
        <v>480</v>
      </c>
      <c r="P17" t="s">
        <v>173</v>
      </c>
      <c r="Q17">
        <f>_xlfn.T.TEST(AG17:BF17,BK17:CI17,2,2)</f>
        <v>0.361892289467034</v>
      </c>
      <c r="R17" t="s">
        <v>171</v>
      </c>
      <c r="S17" s="39"/>
      <c r="T17" s="39"/>
      <c r="U17" s="39"/>
      <c r="V17" s="39"/>
      <c r="W17" s="68"/>
      <c r="X17" t="str">
        <f t="shared" ref="X17:X22" si="1">CONCATENATE(TRUNC(Y17,2), ",  (", TRUNC(Z17,2), " , ", TRUNC(AA17,2), "), ", S17)</f>
        <v xml:space="preserve">1.68,  (1.47 , 1.95), </v>
      </c>
      <c r="Y17">
        <f>MEDIAN(AG17:BF17)</f>
        <v>1.6856483854389301</v>
      </c>
      <c r="Z17">
        <f>_xlfn.PERCENTILE.INC(AG17:BF17, 0.25)</f>
        <v>1.4730303421885049</v>
      </c>
      <c r="AA17">
        <f>_xlfn.PERCENTILE.INC(AG17:BF17, 0.75)</f>
        <v>1.9516188468897351</v>
      </c>
      <c r="AB17" t="str">
        <f t="shared" ref="AB17:AB22" si="2">CONCATENATE(TRUNC(AC17,2), ",  (", TRUNC(AD17,2), " , ", TRUNC(AE17,2), "), ", U17)</f>
        <v xml:space="preserve">2.23,  (1.36 , 2.77), </v>
      </c>
      <c r="AC17">
        <f>MEDIAN(BK17:CI17)</f>
        <v>2.2360982545295549</v>
      </c>
      <c r="AD17">
        <f>_xlfn.PERCENTILE.INC(BK17:CI17, 0.25)</f>
        <v>1.3638062567191749</v>
      </c>
      <c r="AE17">
        <f>_xlfn.PERCENTILE.INC(BK17:CI17, 0.75)</f>
        <v>2.7703627074702175</v>
      </c>
      <c r="AF17" s="48" t="s">
        <v>40</v>
      </c>
      <c r="AG17" t="s">
        <v>162</v>
      </c>
      <c r="AH17" t="s">
        <v>162</v>
      </c>
      <c r="AI17" s="116">
        <v>1.85086824941409</v>
      </c>
      <c r="AJ17" s="116">
        <v>1.37572067569113</v>
      </c>
      <c r="AK17" s="59" t="s">
        <v>162</v>
      </c>
      <c r="AL17" s="59" t="s">
        <v>162</v>
      </c>
      <c r="AM17" s="58" t="s">
        <v>162</v>
      </c>
      <c r="AN17" s="116">
        <v>1.82002944200695</v>
      </c>
      <c r="AO17" s="117" t="s">
        <v>162</v>
      </c>
      <c r="AP17" s="59" t="s">
        <v>162</v>
      </c>
      <c r="AQ17" s="116">
        <v>2.5623985222914101</v>
      </c>
      <c r="AR17" s="58" t="s">
        <v>162</v>
      </c>
      <c r="AS17" s="116">
        <v>1.50546689768763</v>
      </c>
      <c r="AT17" s="58" t="s">
        <v>162</v>
      </c>
      <c r="AU17" s="58" t="s">
        <v>162</v>
      </c>
      <c r="AV17" s="58" t="s">
        <v>162</v>
      </c>
      <c r="AW17" s="116">
        <v>0.96979518498437101</v>
      </c>
      <c r="AX17" s="58" t="s">
        <v>162</v>
      </c>
      <c r="AY17" s="58" t="s">
        <v>162</v>
      </c>
      <c r="AZ17" s="116">
        <v>2.2538706393166699</v>
      </c>
      <c r="BA17" s="58" t="s">
        <v>162</v>
      </c>
      <c r="BB17" s="61" t="s">
        <v>162</v>
      </c>
      <c r="BC17" s="116">
        <v>1.55126732887091</v>
      </c>
      <c r="BJ17" s="48" t="s">
        <v>40</v>
      </c>
      <c r="BK17" s="116">
        <v>3.91432551509758</v>
      </c>
      <c r="BL17" s="116">
        <v>2.7326792152584201</v>
      </c>
      <c r="BM17" s="62" t="s">
        <v>162</v>
      </c>
      <c r="BN17" s="62" t="s">
        <v>162</v>
      </c>
      <c r="BO17" s="58">
        <v>2.2407940760098302</v>
      </c>
      <c r="BP17" s="116">
        <v>1.4673970641015099</v>
      </c>
      <c r="BQ17" s="58">
        <v>2.7796820045573698</v>
      </c>
      <c r="BR17" s="58">
        <v>1.8226959602389401</v>
      </c>
      <c r="BS17" s="116">
        <v>0.80858041220497401</v>
      </c>
      <c r="BT17" s="58">
        <v>2.7424048162087602</v>
      </c>
      <c r="BU17" s="116">
        <v>1.3292759875917299</v>
      </c>
      <c r="BV17" s="58">
        <v>2.9433935976079</v>
      </c>
      <c r="BW17" s="59" t="s">
        <v>162</v>
      </c>
      <c r="BX17" s="58">
        <v>0.57791323864861399</v>
      </c>
      <c r="BY17" s="116">
        <v>3.2902077967872501</v>
      </c>
      <c r="BZ17" t="s">
        <v>162</v>
      </c>
      <c r="CA17" s="116">
        <v>2.2314024330492801</v>
      </c>
      <c r="CB17" t="s">
        <v>162</v>
      </c>
      <c r="CC17" s="116">
        <v>0.58246273658529302</v>
      </c>
    </row>
    <row r="18" spans="2:81" ht="15" customHeight="1" thickBot="1" x14ac:dyDescent="0.35">
      <c r="B18" s="51" t="s">
        <v>292</v>
      </c>
      <c r="C18" s="104" t="s">
        <v>484</v>
      </c>
      <c r="D18" s="112" t="s">
        <v>485</v>
      </c>
      <c r="E18" s="109" t="s">
        <v>488</v>
      </c>
      <c r="F18" s="105" t="s">
        <v>489</v>
      </c>
      <c r="H18" s="99">
        <v>45054</v>
      </c>
      <c r="I18" t="s">
        <v>481</v>
      </c>
      <c r="AF18" s="50" t="s">
        <v>41</v>
      </c>
      <c r="BJ18" s="50" t="s">
        <v>41</v>
      </c>
    </row>
    <row r="19" spans="2:81" x14ac:dyDescent="0.3">
      <c r="C19" s="58"/>
      <c r="D19" s="58"/>
      <c r="E19" s="58"/>
      <c r="F19" s="58"/>
      <c r="AF19" s="50"/>
      <c r="BJ19" s="50"/>
    </row>
    <row r="20" spans="2:81" x14ac:dyDescent="0.3">
      <c r="C20" s="58"/>
      <c r="D20" s="58"/>
      <c r="E20" s="58"/>
      <c r="F20" s="58"/>
      <c r="AF20" s="50"/>
      <c r="BJ20" s="50"/>
    </row>
    <row r="21" spans="2:81" x14ac:dyDescent="0.3">
      <c r="C21" s="58"/>
      <c r="D21" s="58"/>
      <c r="E21" s="58"/>
      <c r="F21" s="58"/>
      <c r="I21" s="1"/>
      <c r="J21" s="1"/>
      <c r="P21" t="s">
        <v>173</v>
      </c>
      <c r="Q21">
        <f>_xlfn.T.TEST(AG21:BF21,BK21:CI21,2,2)</f>
        <v>0.41582109397182643</v>
      </c>
      <c r="R21" t="s">
        <v>171</v>
      </c>
      <c r="S21" s="39"/>
      <c r="T21" s="39"/>
      <c r="U21" s="39"/>
      <c r="V21" s="39"/>
      <c r="W21" s="68"/>
      <c r="X21" t="str">
        <f>CONCATENATE(TRUNC(Y21,2), ",  (", TRUNC(Z21,2), " , ", TRUNC(AA21,2), "), ", S21)</f>
        <v xml:space="preserve">1.88,  (1.69 , 3.26), </v>
      </c>
      <c r="Y21">
        <f>MEDIAN(AG21:BF21)</f>
        <v>1.8837692386865601</v>
      </c>
      <c r="Z21">
        <f>_xlfn.PERCENTILE.INC(AG21:BF21, 0.25)</f>
        <v>1.6951827972420499</v>
      </c>
      <c r="AA21">
        <f>_xlfn.PERCENTILE.INC(AG21:BF21, 0.75)</f>
        <v>3.2643166171016702</v>
      </c>
      <c r="AB21" t="str">
        <f t="shared" si="2"/>
        <v xml:space="preserve">1.81,  (1.22 , 2.82), </v>
      </c>
      <c r="AC21">
        <f>MEDIAN(BK21:CI21)</f>
        <v>1.8149816003119099</v>
      </c>
      <c r="AD21">
        <f>_xlfn.PERCENTILE.INC(BK21:CI21, 0.25)</f>
        <v>1.2293940046119924</v>
      </c>
      <c r="AE21">
        <f>_xlfn.PERCENTILE.INC(BK21:CI21, 0.75)</f>
        <v>2.824564356556345</v>
      </c>
      <c r="AF21" s="48" t="s">
        <v>39</v>
      </c>
      <c r="AG21" t="s">
        <v>162</v>
      </c>
      <c r="AH21" t="s">
        <v>162</v>
      </c>
      <c r="AI21" t="s">
        <v>162</v>
      </c>
      <c r="AJ21" t="s">
        <v>162</v>
      </c>
      <c r="AK21" t="s">
        <v>162</v>
      </c>
      <c r="AL21" s="58">
        <v>1.4161592237265099</v>
      </c>
      <c r="AM21" s="58" t="s">
        <v>162</v>
      </c>
      <c r="AN21" s="58">
        <v>1.7405020880969599</v>
      </c>
      <c r="AO21" s="117" t="s">
        <v>162</v>
      </c>
      <c r="AP21" s="59" t="s">
        <v>162</v>
      </c>
      <c r="AQ21" s="58">
        <v>1.40354475865929</v>
      </c>
      <c r="AR21" s="58" t="s">
        <v>162</v>
      </c>
      <c r="AS21" s="58">
        <v>1.8837692386865601</v>
      </c>
      <c r="AT21" s="58" t="s">
        <v>162</v>
      </c>
      <c r="AU21" s="58" t="s">
        <v>162</v>
      </c>
      <c r="AV21" s="58" t="s">
        <v>162</v>
      </c>
      <c r="AW21" s="116">
        <v>2.2784577091748002</v>
      </c>
      <c r="AX21" s="58" t="s">
        <v>162</v>
      </c>
      <c r="AY21" s="58" t="s">
        <v>162</v>
      </c>
      <c r="AZ21" s="116">
        <v>3.7921899287678702</v>
      </c>
      <c r="BA21" s="116">
        <v>3.2643166171016702</v>
      </c>
      <c r="BB21" s="116">
        <v>5.6487337950156</v>
      </c>
      <c r="BC21" s="116">
        <v>1.6951827972420499</v>
      </c>
      <c r="BJ21" s="48" t="s">
        <v>39</v>
      </c>
      <c r="BK21" t="s">
        <v>162</v>
      </c>
      <c r="BL21" t="s">
        <v>162</v>
      </c>
      <c r="BM21" t="s">
        <v>162</v>
      </c>
      <c r="BN21" t="s">
        <v>162</v>
      </c>
      <c r="BO21" t="s">
        <v>162</v>
      </c>
      <c r="BP21" t="s">
        <v>162</v>
      </c>
      <c r="BQ21" t="s">
        <v>162</v>
      </c>
      <c r="BR21" t="s">
        <v>162</v>
      </c>
      <c r="BS21" s="58">
        <v>0.89316309394488103</v>
      </c>
      <c r="BT21" s="116">
        <v>2.72033210885757</v>
      </c>
      <c r="BU21" s="116">
        <v>2.9287966042551199</v>
      </c>
      <c r="BV21" s="58">
        <v>3.4387836114208898</v>
      </c>
      <c r="BW21" s="59" t="s">
        <v>162</v>
      </c>
      <c r="BX21" s="58">
        <v>0.90489098867090501</v>
      </c>
      <c r="BY21" s="59" t="s">
        <v>162</v>
      </c>
      <c r="BZ21" t="s">
        <v>162</v>
      </c>
      <c r="CA21" s="116">
        <v>1.55389702055308</v>
      </c>
      <c r="CB21" t="s">
        <v>162</v>
      </c>
      <c r="CC21" s="116">
        <v>1.8149816003119099</v>
      </c>
    </row>
    <row r="22" spans="2:81" x14ac:dyDescent="0.3">
      <c r="B22" t="s">
        <v>354</v>
      </c>
      <c r="C22" s="58"/>
      <c r="D22" s="125" t="s">
        <v>283</v>
      </c>
      <c r="E22" s="58"/>
      <c r="F22" s="58"/>
      <c r="P22" t="s">
        <v>173</v>
      </c>
      <c r="Q22">
        <f>_xlfn.T.TEST(AG22:BF22,BK22:CI22,2,2)</f>
        <v>1.0698088758727188E-2</v>
      </c>
      <c r="R22" t="s">
        <v>171</v>
      </c>
      <c r="S22" s="39"/>
      <c r="T22" s="39"/>
      <c r="U22" s="39"/>
      <c r="V22" s="39"/>
      <c r="W22" s="68"/>
      <c r="X22" t="str">
        <f t="shared" si="1"/>
        <v xml:space="preserve">2.19,  (1.87 , 2.55), </v>
      </c>
      <c r="Y22">
        <f>MEDIAN(AG22:BF22)</f>
        <v>2.19564463555766</v>
      </c>
      <c r="Z22">
        <f>_xlfn.PERCENTILE.INC(AG22:BF22, 0.25)</f>
        <v>1.8748035499796001</v>
      </c>
      <c r="AA22">
        <f>_xlfn.PERCENTILE.INC(AG22:BF22, 0.75)</f>
        <v>2.5594957129124101</v>
      </c>
      <c r="AB22" t="str">
        <f t="shared" si="2"/>
        <v xml:space="preserve">1.35,  (0.82 , 1.53), </v>
      </c>
      <c r="AC22">
        <f>MEDIAN(BK22:CI22)</f>
        <v>1.35482418737221</v>
      </c>
      <c r="AD22">
        <f>_xlfn.PERCENTILE.INC(BK22:CI22, 0.25)</f>
        <v>0.82319953655207001</v>
      </c>
      <c r="AE22">
        <f>_xlfn.PERCENTILE.INC(BK22:CI22, 0.75)</f>
        <v>1.5374163100735001</v>
      </c>
      <c r="AF22" s="48" t="s">
        <v>40</v>
      </c>
      <c r="AG22" t="s">
        <v>162</v>
      </c>
      <c r="AH22" t="s">
        <v>162</v>
      </c>
      <c r="AI22" t="s">
        <v>162</v>
      </c>
      <c r="AJ22" t="s">
        <v>162</v>
      </c>
      <c r="AK22" t="s">
        <v>162</v>
      </c>
      <c r="AL22" s="59" t="s">
        <v>162</v>
      </c>
      <c r="AM22" s="58" t="s">
        <v>162</v>
      </c>
      <c r="AN22" s="59" t="s">
        <v>162</v>
      </c>
      <c r="AO22" s="117" t="s">
        <v>162</v>
      </c>
      <c r="AP22" s="59" t="s">
        <v>162</v>
      </c>
      <c r="AQ22" s="58">
        <v>1.8748035499796001</v>
      </c>
      <c r="AR22" s="58" t="s">
        <v>162</v>
      </c>
      <c r="AS22" s="59" t="s">
        <v>162</v>
      </c>
      <c r="AT22" s="58" t="s">
        <v>162</v>
      </c>
      <c r="AU22" s="58" t="s">
        <v>162</v>
      </c>
      <c r="AV22" s="58" t="s">
        <v>162</v>
      </c>
      <c r="AW22" s="116">
        <v>2.19564463555766</v>
      </c>
      <c r="AX22" s="58" t="s">
        <v>162</v>
      </c>
      <c r="AY22" s="58" t="s">
        <v>162</v>
      </c>
      <c r="AZ22" s="116">
        <v>3.7528026920173101</v>
      </c>
      <c r="BA22" s="116">
        <v>2.5594957129124101</v>
      </c>
      <c r="BB22" s="61" t="s">
        <v>162</v>
      </c>
      <c r="BC22" s="116">
        <v>1.78445355046343</v>
      </c>
      <c r="BJ22" s="48" t="s">
        <v>40</v>
      </c>
      <c r="BK22" t="s">
        <v>162</v>
      </c>
      <c r="BL22" t="s">
        <v>162</v>
      </c>
      <c r="BM22" t="s">
        <v>162</v>
      </c>
      <c r="BN22" t="s">
        <v>162</v>
      </c>
      <c r="BO22" t="s">
        <v>162</v>
      </c>
      <c r="BP22" t="s">
        <v>162</v>
      </c>
      <c r="BQ22" t="s">
        <v>162</v>
      </c>
      <c r="BR22" t="s">
        <v>162</v>
      </c>
      <c r="BS22" s="58">
        <v>0.52535944249941502</v>
      </c>
      <c r="BT22" s="116">
        <v>1.35482418737221</v>
      </c>
      <c r="BU22" s="116">
        <v>1.55635785168836</v>
      </c>
      <c r="BV22" s="58">
        <v>2.5404880981468598</v>
      </c>
      <c r="BW22" s="116">
        <v>1.1218892059474299</v>
      </c>
      <c r="BX22" s="58">
        <v>1.47958805400294</v>
      </c>
      <c r="BY22" s="58">
        <v>0.82319953655207001</v>
      </c>
      <c r="BZ22" t="s">
        <v>162</v>
      </c>
      <c r="CA22" s="116">
        <v>1.5374163100735001</v>
      </c>
      <c r="CB22" t="s">
        <v>162</v>
      </c>
      <c r="CC22" s="116">
        <v>0.53042259043599305</v>
      </c>
    </row>
    <row r="23" spans="2:81" ht="23.4" x14ac:dyDescent="0.45">
      <c r="C23" s="58"/>
      <c r="D23" s="126" t="s">
        <v>356</v>
      </c>
      <c r="E23" s="58"/>
      <c r="F23" s="58"/>
      <c r="S23" s="39"/>
      <c r="T23" s="39"/>
      <c r="U23" s="39"/>
      <c r="V23" s="39"/>
      <c r="W23" s="68"/>
      <c r="AK23" s="58"/>
      <c r="AL23" s="59"/>
      <c r="AM23" s="58"/>
      <c r="AN23" s="61"/>
      <c r="AO23" s="62"/>
      <c r="AP23" s="58"/>
      <c r="AQ23" s="58"/>
      <c r="AR23" s="58"/>
      <c r="AS23" s="61"/>
      <c r="AT23" s="58"/>
      <c r="BS23" s="58"/>
      <c r="BT23" s="58"/>
      <c r="BU23" s="58"/>
    </row>
    <row r="24" spans="2:81" ht="15" thickBot="1" x14ac:dyDescent="0.35">
      <c r="C24" s="58"/>
      <c r="D24" s="58"/>
      <c r="E24" s="58"/>
      <c r="F24" s="58"/>
      <c r="S24" s="39"/>
      <c r="T24" s="39"/>
      <c r="U24" s="39"/>
      <c r="V24" s="39"/>
      <c r="W24" s="68"/>
      <c r="AK24" s="58"/>
      <c r="AL24" s="59"/>
      <c r="AM24" s="58"/>
      <c r="AN24" s="61"/>
      <c r="AO24" s="62"/>
      <c r="AP24" s="58"/>
      <c r="AQ24" s="58"/>
      <c r="AR24" s="58"/>
      <c r="AS24" s="61"/>
      <c r="AT24" s="58"/>
      <c r="BS24" s="58"/>
      <c r="BT24" s="58"/>
      <c r="BU24" s="58"/>
    </row>
    <row r="25" spans="2:81" x14ac:dyDescent="0.3">
      <c r="B25" s="133"/>
      <c r="C25" s="183" t="s">
        <v>310</v>
      </c>
      <c r="D25" s="184"/>
      <c r="E25" s="183" t="s">
        <v>41</v>
      </c>
      <c r="F25" s="184"/>
      <c r="S25" s="39"/>
      <c r="T25" s="39"/>
      <c r="U25" s="39"/>
      <c r="V25" s="39"/>
      <c r="W25" s="68"/>
      <c r="AK25" s="58"/>
      <c r="AL25" s="59"/>
      <c r="AM25" s="58"/>
      <c r="AN25" s="61"/>
      <c r="AO25" s="62"/>
      <c r="AP25" s="58"/>
      <c r="AQ25" s="58"/>
      <c r="AR25" s="58"/>
      <c r="AS25" s="61"/>
      <c r="AT25" s="58"/>
      <c r="BS25" s="58"/>
      <c r="BT25" s="58"/>
      <c r="BU25" s="58"/>
    </row>
    <row r="26" spans="2:81" x14ac:dyDescent="0.3">
      <c r="B26" s="134"/>
      <c r="C26" s="131" t="s">
        <v>447</v>
      </c>
      <c r="D26" s="135" t="s">
        <v>308</v>
      </c>
      <c r="E26" s="131" t="s">
        <v>447</v>
      </c>
      <c r="F26" s="135" t="s">
        <v>308</v>
      </c>
      <c r="H26" s="1"/>
      <c r="R26" s="39"/>
      <c r="S26" s="39"/>
      <c r="T26" s="39"/>
      <c r="U26" s="39"/>
      <c r="V26" s="68"/>
      <c r="AF26" s="49" t="s">
        <v>74</v>
      </c>
      <c r="AJ26" s="58"/>
      <c r="AK26" s="59"/>
      <c r="AL26" s="58"/>
      <c r="AM26" s="61"/>
      <c r="AN26" s="62"/>
      <c r="AO26" s="58"/>
      <c r="AP26" s="58"/>
      <c r="AQ26" s="58"/>
      <c r="AR26" s="61"/>
      <c r="AS26" s="58"/>
      <c r="BJ26" s="49" t="s">
        <v>74</v>
      </c>
      <c r="BR26" s="58"/>
      <c r="BS26" s="58"/>
      <c r="BT26" s="58"/>
    </row>
    <row r="27" spans="2:81" x14ac:dyDescent="0.3">
      <c r="B27" s="136" t="s">
        <v>3</v>
      </c>
      <c r="C27" s="132" t="s">
        <v>476</v>
      </c>
      <c r="D27" s="137" t="s">
        <v>477</v>
      </c>
      <c r="E27" s="132" t="s">
        <v>478</v>
      </c>
      <c r="F27" s="137" t="s">
        <v>479</v>
      </c>
      <c r="H27" s="99">
        <v>45054</v>
      </c>
      <c r="I27" t="s">
        <v>480</v>
      </c>
      <c r="J27" s="10"/>
      <c r="R27" s="39"/>
      <c r="S27" s="39"/>
      <c r="T27" s="39"/>
      <c r="U27" s="39"/>
      <c r="V27" s="68"/>
      <c r="AF27" s="50" t="s">
        <v>38</v>
      </c>
      <c r="AJ27" s="58"/>
      <c r="AK27" s="59"/>
      <c r="AL27" s="58"/>
      <c r="AM27" s="61"/>
      <c r="AN27" s="62"/>
      <c r="AO27" s="58"/>
      <c r="AP27" s="58"/>
      <c r="AQ27" s="58"/>
      <c r="AR27" s="61"/>
      <c r="AS27" s="58"/>
      <c r="BJ27" s="50" t="s">
        <v>38</v>
      </c>
      <c r="BR27" s="58"/>
      <c r="BS27" s="58"/>
      <c r="BT27" s="58"/>
    </row>
    <row r="28" spans="2:81" x14ac:dyDescent="0.3">
      <c r="B28" s="78" t="s">
        <v>292</v>
      </c>
      <c r="C28" s="132" t="s">
        <v>486</v>
      </c>
      <c r="D28" s="137" t="s">
        <v>487</v>
      </c>
      <c r="E28" s="132" t="s">
        <v>490</v>
      </c>
      <c r="F28" s="137" t="s">
        <v>491</v>
      </c>
      <c r="H28" s="99">
        <v>45054</v>
      </c>
      <c r="I28" t="s">
        <v>481</v>
      </c>
      <c r="X28" t="str">
        <f>CONCATENATE(TRUNC(Y28,2), ",  (", TRUNC(Z28,2), " , ", TRUNC(AA28,2), "), ", S28)</f>
        <v xml:space="preserve">11.5,  (6.5 , 15), </v>
      </c>
      <c r="Y28">
        <f>MEDIAN(AG28:BF28)</f>
        <v>11.5</v>
      </c>
      <c r="Z28">
        <f>_xlfn.PERCENTILE.INC(AG28:BF28, 0.25)</f>
        <v>6.5</v>
      </c>
      <c r="AA28">
        <f>_xlfn.PERCENTILE.INC(AG28:BF28, 0.75)</f>
        <v>15.005000000000001</v>
      </c>
      <c r="AB28" t="str">
        <f>CONCATENATE(TRUNC(AC28,2), ",  (", TRUNC(AD28,2), " , ", TRUNC(AE28,2), "), ", U28)</f>
        <v xml:space="preserve">6.51,  (1.49 , 10.5), </v>
      </c>
      <c r="AC28">
        <f>MEDIAN(BK28:CI28)</f>
        <v>6.51</v>
      </c>
      <c r="AD28">
        <f>_xlfn.PERCENTILE.INC(BK28:CI28, 0.25)</f>
        <v>1.49</v>
      </c>
      <c r="AE28">
        <f>_xlfn.PERCENTILE.INC(BK28:CI28, 0.75)</f>
        <v>10.5</v>
      </c>
      <c r="AF28" s="48" t="s">
        <v>503</v>
      </c>
      <c r="AG28" t="s">
        <v>162</v>
      </c>
      <c r="AH28" t="s">
        <v>162</v>
      </c>
      <c r="AI28" s="1">
        <v>17.510000000000002</v>
      </c>
      <c r="AJ28" s="1">
        <v>18.5</v>
      </c>
      <c r="AK28" s="1">
        <v>10.5</v>
      </c>
      <c r="AL28" s="59" t="s">
        <v>162</v>
      </c>
      <c r="AM28" t="s">
        <v>162</v>
      </c>
      <c r="AN28" s="1">
        <v>6.51</v>
      </c>
      <c r="AO28" t="s">
        <v>162</v>
      </c>
      <c r="AP28" s="59" t="s">
        <v>162</v>
      </c>
      <c r="AQ28" s="1">
        <v>6.49</v>
      </c>
      <c r="AR28" t="s">
        <v>162</v>
      </c>
      <c r="AS28" s="1">
        <v>11.5</v>
      </c>
      <c r="AT28" t="s">
        <v>162</v>
      </c>
      <c r="AU28" t="s">
        <v>162</v>
      </c>
      <c r="AV28" t="s">
        <v>162</v>
      </c>
      <c r="AW28" s="1">
        <v>11.51</v>
      </c>
      <c r="AX28" t="s">
        <v>162</v>
      </c>
      <c r="AY28" t="s">
        <v>162</v>
      </c>
      <c r="AZ28" s="27">
        <v>-3.51</v>
      </c>
      <c r="BA28">
        <v>20</v>
      </c>
      <c r="BB28">
        <v>12.5</v>
      </c>
      <c r="BC28">
        <v>3.51</v>
      </c>
      <c r="BJ28" s="48" t="s">
        <v>503</v>
      </c>
      <c r="BK28">
        <v>16.510000000000002</v>
      </c>
      <c r="BL28">
        <v>-2.48</v>
      </c>
      <c r="BM28" s="59" t="s">
        <v>162</v>
      </c>
      <c r="BN28" s="59" t="s">
        <v>162</v>
      </c>
      <c r="BO28">
        <v>8.77</v>
      </c>
      <c r="BP28" s="59" t="s">
        <v>162</v>
      </c>
      <c r="BQ28">
        <v>13.5</v>
      </c>
      <c r="BR28">
        <v>9.48</v>
      </c>
      <c r="BS28">
        <v>6.51</v>
      </c>
      <c r="BT28">
        <v>10.5</v>
      </c>
      <c r="BU28">
        <v>1.49</v>
      </c>
      <c r="BV28">
        <v>6.51</v>
      </c>
      <c r="BW28">
        <v>-4.58</v>
      </c>
      <c r="BX28" s="59" t="s">
        <v>162</v>
      </c>
      <c r="BY28">
        <v>6.49</v>
      </c>
      <c r="BZ28" t="s">
        <v>162</v>
      </c>
      <c r="CA28" s="1">
        <v>11.5</v>
      </c>
      <c r="CB28" t="s">
        <v>162</v>
      </c>
      <c r="CC28" s="1">
        <v>-4.5999999999999996</v>
      </c>
    </row>
    <row r="29" spans="2:81" x14ac:dyDescent="0.3">
      <c r="B29" s="78" t="s">
        <v>301</v>
      </c>
      <c r="C29" s="132" t="s">
        <v>454</v>
      </c>
      <c r="D29" s="137" t="s">
        <v>451</v>
      </c>
      <c r="E29" s="132" t="s">
        <v>453</v>
      </c>
      <c r="F29" s="137" t="s">
        <v>452</v>
      </c>
      <c r="H29" s="99">
        <v>45054</v>
      </c>
      <c r="I29" t="s">
        <v>482</v>
      </c>
      <c r="AF29" s="50" t="s">
        <v>41</v>
      </c>
      <c r="BJ29" s="50" t="s">
        <v>41</v>
      </c>
    </row>
    <row r="30" spans="2:81" x14ac:dyDescent="0.3">
      <c r="B30" s="78" t="s">
        <v>302</v>
      </c>
      <c r="C30" s="132" t="s">
        <v>455</v>
      </c>
      <c r="D30" s="137" t="s">
        <v>456</v>
      </c>
      <c r="E30" s="132" t="s">
        <v>457</v>
      </c>
      <c r="F30" s="137" t="s">
        <v>458</v>
      </c>
      <c r="H30" s="99">
        <v>45054</v>
      </c>
      <c r="I30" t="s">
        <v>483</v>
      </c>
      <c r="X30" t="e">
        <f>CONCATENATE(TRUNC(Y30,2), ",  (", TRUNC(Z30,2), " , ", TRUNC(AA30,2), "), ", S30)</f>
        <v>#NUM!</v>
      </c>
      <c r="Y30" t="e">
        <f>MEDIAN(AG30:BF30)</f>
        <v>#NUM!</v>
      </c>
      <c r="Z30" t="e">
        <f>_xlfn.PERCENTILE.INC(AG30:BF30, 0.25)</f>
        <v>#NUM!</v>
      </c>
      <c r="AA30" t="e">
        <f>_xlfn.PERCENTILE.INC(AG30:BF30, 0.75)</f>
        <v>#NUM!</v>
      </c>
      <c r="AB30" t="e">
        <f>CONCATENATE(TRUNC(AC30,2), ",  (", TRUNC(AD30,2), " , ", TRUNC(AE30,2), "), ", U30)</f>
        <v>#NUM!</v>
      </c>
      <c r="AC30" t="e">
        <f>MEDIAN(BK30:CI30)</f>
        <v>#NUM!</v>
      </c>
      <c r="AD30" t="e">
        <f>_xlfn.PERCENTILE.INC(BK30:CI30, 0.25)</f>
        <v>#NUM!</v>
      </c>
      <c r="AE30" t="e">
        <f>_xlfn.PERCENTILE.INC(BK30:CI30, 0.75)</f>
        <v>#NUM!</v>
      </c>
      <c r="AF30" s="48" t="s">
        <v>503</v>
      </c>
      <c r="BJ30" s="48" t="s">
        <v>503</v>
      </c>
    </row>
    <row r="31" spans="2:81" x14ac:dyDescent="0.3">
      <c r="B31" s="78" t="s">
        <v>280</v>
      </c>
      <c r="C31" s="132" t="s">
        <v>472</v>
      </c>
      <c r="D31" s="137" t="s">
        <v>473</v>
      </c>
      <c r="E31" s="132" t="s">
        <v>474</v>
      </c>
      <c r="F31" s="137" t="s">
        <v>475</v>
      </c>
      <c r="H31" s="99">
        <v>45054</v>
      </c>
      <c r="I31" t="s">
        <v>483</v>
      </c>
    </row>
    <row r="32" spans="2:81" ht="15" customHeight="1" x14ac:dyDescent="0.3">
      <c r="B32" s="78" t="s">
        <v>304</v>
      </c>
      <c r="C32" s="132" t="s">
        <v>459</v>
      </c>
      <c r="D32" s="137" t="s">
        <v>460</v>
      </c>
      <c r="E32" s="132" t="s">
        <v>461</v>
      </c>
      <c r="F32" s="137" t="s">
        <v>462</v>
      </c>
      <c r="H32" s="99">
        <v>45054</v>
      </c>
      <c r="I32" t="s">
        <v>483</v>
      </c>
    </row>
    <row r="33" spans="2:9" ht="15.75" customHeight="1" x14ac:dyDescent="0.3">
      <c r="B33" s="78" t="s">
        <v>305</v>
      </c>
      <c r="C33" s="132" t="s">
        <v>463</v>
      </c>
      <c r="D33" s="137" t="s">
        <v>464</v>
      </c>
      <c r="E33" s="132" t="s">
        <v>465</v>
      </c>
      <c r="F33" s="137" t="s">
        <v>466</v>
      </c>
      <c r="H33" s="99">
        <v>45054</v>
      </c>
      <c r="I33" t="s">
        <v>482</v>
      </c>
    </row>
    <row r="34" spans="2:9" ht="15" thickBot="1" x14ac:dyDescent="0.35">
      <c r="B34" s="138" t="s">
        <v>467</v>
      </c>
      <c r="C34" s="139" t="s">
        <v>470</v>
      </c>
      <c r="D34" s="140" t="s">
        <v>471</v>
      </c>
      <c r="E34" s="139" t="s">
        <v>468</v>
      </c>
      <c r="F34" s="140" t="s">
        <v>469</v>
      </c>
    </row>
    <row r="35" spans="2:9" x14ac:dyDescent="0.3">
      <c r="C35" s="58"/>
      <c r="D35" s="58"/>
      <c r="E35" s="58"/>
      <c r="F35" s="58"/>
    </row>
    <row r="48" spans="2:9" x14ac:dyDescent="0.3">
      <c r="B48" t="s">
        <v>313</v>
      </c>
    </row>
    <row r="49" spans="2:14" ht="15" thickBot="1" x14ac:dyDescent="0.35"/>
    <row r="50" spans="2:14" ht="29.4" thickBot="1" x14ac:dyDescent="0.35">
      <c r="B50" s="169" t="s">
        <v>314</v>
      </c>
      <c r="C50" s="170"/>
      <c r="D50" s="171"/>
      <c r="M50" s="28" t="s">
        <v>317</v>
      </c>
      <c r="N50" s="28" t="s">
        <v>320</v>
      </c>
    </row>
    <row r="51" spans="2:14" x14ac:dyDescent="0.3">
      <c r="B51" s="172" t="s">
        <v>310</v>
      </c>
      <c r="C51" s="173"/>
      <c r="D51" s="174"/>
    </row>
    <row r="52" spans="2:14" ht="15" thickBot="1" x14ac:dyDescent="0.35"/>
    <row r="53" spans="2:14" x14ac:dyDescent="0.3">
      <c r="B53" s="75"/>
      <c r="C53" s="46" t="s">
        <v>7</v>
      </c>
      <c r="D53" s="46"/>
      <c r="E53" s="46" t="s">
        <v>0</v>
      </c>
      <c r="F53" s="46"/>
      <c r="G53" s="46"/>
      <c r="H53" s="46"/>
      <c r="I53" s="90"/>
      <c r="J53" s="46" t="s">
        <v>315</v>
      </c>
      <c r="K53" s="98"/>
    </row>
    <row r="54" spans="2:14" ht="28.8" x14ac:dyDescent="0.3">
      <c r="B54" s="84"/>
      <c r="C54" s="3" t="s">
        <v>281</v>
      </c>
      <c r="D54" s="8" t="s">
        <v>308</v>
      </c>
      <c r="E54" s="3" t="s">
        <v>281</v>
      </c>
      <c r="F54" s="3"/>
      <c r="G54" s="3"/>
      <c r="H54" s="3"/>
      <c r="I54" s="8" t="s">
        <v>308</v>
      </c>
      <c r="J54" s="3" t="s">
        <v>281</v>
      </c>
      <c r="K54" s="91" t="s">
        <v>308</v>
      </c>
    </row>
    <row r="55" spans="2:14" x14ac:dyDescent="0.3">
      <c r="B55" s="76" t="s">
        <v>279</v>
      </c>
      <c r="C55" s="10" t="s">
        <v>311</v>
      </c>
      <c r="D55" s="10" t="s">
        <v>309</v>
      </c>
      <c r="E55" s="10" t="s">
        <v>311</v>
      </c>
      <c r="F55" s="10"/>
      <c r="G55" s="10"/>
      <c r="H55" s="10"/>
      <c r="I55" s="10" t="s">
        <v>309</v>
      </c>
      <c r="J55" s="102" t="s">
        <v>311</v>
      </c>
      <c r="K55" s="103" t="s">
        <v>309</v>
      </c>
      <c r="M55" s="99">
        <v>44629</v>
      </c>
    </row>
    <row r="56" spans="2:14" ht="15" thickBot="1" x14ac:dyDescent="0.35">
      <c r="B56" s="51" t="s">
        <v>292</v>
      </c>
      <c r="C56" s="55" t="s">
        <v>339</v>
      </c>
      <c r="D56" s="55" t="s">
        <v>344</v>
      </c>
      <c r="E56" s="55" t="s">
        <v>342</v>
      </c>
      <c r="F56" s="55"/>
      <c r="G56" s="55"/>
      <c r="H56" s="55"/>
      <c r="I56" s="55" t="s">
        <v>343</v>
      </c>
      <c r="J56" s="104" t="s">
        <v>340</v>
      </c>
      <c r="K56" s="105" t="s">
        <v>341</v>
      </c>
      <c r="M56" s="99">
        <v>44629</v>
      </c>
      <c r="N56" t="s">
        <v>338</v>
      </c>
    </row>
    <row r="60" spans="2:14" x14ac:dyDescent="0.3">
      <c r="B60" t="s">
        <v>312</v>
      </c>
    </row>
    <row r="61" spans="2:14" ht="29.4" thickBot="1" x14ac:dyDescent="0.35">
      <c r="M61" s="28" t="s">
        <v>317</v>
      </c>
      <c r="N61" s="28" t="s">
        <v>320</v>
      </c>
    </row>
    <row r="62" spans="2:14" ht="15" thickBot="1" x14ac:dyDescent="0.35">
      <c r="B62" s="169" t="s">
        <v>314</v>
      </c>
      <c r="C62" s="170"/>
      <c r="D62" s="171"/>
    </row>
    <row r="63" spans="2:14" x14ac:dyDescent="0.3">
      <c r="B63" s="172" t="s">
        <v>41</v>
      </c>
      <c r="C63" s="173"/>
      <c r="D63" s="174"/>
    </row>
    <row r="64" spans="2:14" ht="15" thickBot="1" x14ac:dyDescent="0.35"/>
    <row r="65" spans="2:17" x14ac:dyDescent="0.3">
      <c r="B65" s="75"/>
      <c r="C65" s="46" t="s">
        <v>7</v>
      </c>
      <c r="D65" s="46"/>
      <c r="E65" s="46" t="s">
        <v>0</v>
      </c>
      <c r="F65" s="46"/>
      <c r="G65" s="46"/>
      <c r="H65" s="46"/>
      <c r="I65" s="90"/>
      <c r="J65" s="46" t="s">
        <v>315</v>
      </c>
      <c r="K65" s="98"/>
    </row>
    <row r="66" spans="2:17" ht="28.8" x14ac:dyDescent="0.3">
      <c r="B66" s="84"/>
      <c r="C66" s="3" t="s">
        <v>281</v>
      </c>
      <c r="D66" s="8" t="s">
        <v>308</v>
      </c>
      <c r="E66" s="3" t="s">
        <v>281</v>
      </c>
      <c r="F66" s="3"/>
      <c r="G66" s="3"/>
      <c r="H66" s="3"/>
      <c r="I66" s="8" t="s">
        <v>308</v>
      </c>
      <c r="J66" s="3" t="s">
        <v>281</v>
      </c>
      <c r="K66" s="91" t="s">
        <v>308</v>
      </c>
    </row>
    <row r="67" spans="2:17" x14ac:dyDescent="0.3">
      <c r="B67" s="76" t="s">
        <v>279</v>
      </c>
      <c r="C67" s="10" t="s">
        <v>311</v>
      </c>
      <c r="D67" s="10" t="s">
        <v>309</v>
      </c>
      <c r="E67" s="10" t="s">
        <v>311</v>
      </c>
      <c r="F67" s="10"/>
      <c r="G67" s="10"/>
      <c r="H67" s="10"/>
      <c r="I67" s="10" t="s">
        <v>309</v>
      </c>
      <c r="J67" s="102" t="s">
        <v>311</v>
      </c>
      <c r="K67" s="103" t="s">
        <v>309</v>
      </c>
      <c r="M67" s="99">
        <v>44629</v>
      </c>
    </row>
    <row r="68" spans="2:17" ht="15" thickBot="1" x14ac:dyDescent="0.35">
      <c r="B68" s="51" t="s">
        <v>292</v>
      </c>
      <c r="C68" s="55" t="s">
        <v>345</v>
      </c>
      <c r="D68" s="55" t="s">
        <v>346</v>
      </c>
      <c r="E68" s="55" t="s">
        <v>347</v>
      </c>
      <c r="F68" s="55"/>
      <c r="G68" s="55"/>
      <c r="H68" s="55"/>
      <c r="I68" s="55" t="s">
        <v>348</v>
      </c>
      <c r="J68" s="104" t="s">
        <v>349</v>
      </c>
      <c r="K68" s="105" t="s">
        <v>350</v>
      </c>
      <c r="M68" s="99">
        <v>44629</v>
      </c>
      <c r="N68" t="s">
        <v>338</v>
      </c>
    </row>
    <row r="74" spans="2:17" ht="23.4" x14ac:dyDescent="0.45">
      <c r="B74" s="94" t="s">
        <v>282</v>
      </c>
    </row>
    <row r="76" spans="2:17" ht="15" thickBot="1" x14ac:dyDescent="0.35">
      <c r="B76" t="s">
        <v>42</v>
      </c>
      <c r="C76" s="7">
        <v>44959</v>
      </c>
    </row>
    <row r="77" spans="2:17" x14ac:dyDescent="0.3">
      <c r="B77" s="45" t="s">
        <v>37</v>
      </c>
      <c r="C77" s="46" t="s">
        <v>7</v>
      </c>
      <c r="D77" s="46" t="s">
        <v>0</v>
      </c>
      <c r="E77" s="47" t="s">
        <v>43</v>
      </c>
      <c r="F77" s="74"/>
      <c r="G77" s="74"/>
      <c r="H77" s="74"/>
    </row>
    <row r="78" spans="2:17" x14ac:dyDescent="0.3">
      <c r="B78" s="48"/>
      <c r="C78" s="10"/>
      <c r="D78" s="10"/>
      <c r="E78" s="53"/>
      <c r="F78" s="39"/>
      <c r="G78" s="39"/>
      <c r="H78" s="39"/>
    </row>
    <row r="79" spans="2:17" x14ac:dyDescent="0.3">
      <c r="B79" s="49" t="s">
        <v>74</v>
      </c>
      <c r="C79" s="25"/>
      <c r="D79" s="25"/>
      <c r="E79" s="53"/>
      <c r="F79" s="39"/>
      <c r="G79" s="39"/>
      <c r="H79" s="39"/>
    </row>
    <row r="80" spans="2:17" x14ac:dyDescent="0.3">
      <c r="B80" s="50" t="s">
        <v>38</v>
      </c>
      <c r="C80" s="10"/>
      <c r="D80" s="10"/>
      <c r="E80" s="53"/>
      <c r="F80" s="39"/>
      <c r="G80" s="39"/>
      <c r="H80" s="39"/>
      <c r="L80" s="39"/>
      <c r="M80" s="39"/>
      <c r="N80" s="39"/>
      <c r="O80" s="39"/>
      <c r="P80" s="39"/>
      <c r="Q80" s="39"/>
    </row>
    <row r="81" spans="2:80" x14ac:dyDescent="0.3">
      <c r="B81" s="48" t="s">
        <v>39</v>
      </c>
      <c r="C81" s="10" t="str">
        <f>X16</f>
        <v xml:space="preserve">2.03,  (1.31 , 2.44), </v>
      </c>
      <c r="D81" s="10" t="str">
        <f>AB16</f>
        <v xml:space="preserve">3.49,  (3 , 4.41), </v>
      </c>
      <c r="E81" s="53"/>
      <c r="F81" s="39"/>
      <c r="G81" s="39"/>
      <c r="H81" s="39"/>
      <c r="L81" s="39"/>
      <c r="M81" s="39"/>
      <c r="N81" s="39"/>
      <c r="O81" s="39"/>
      <c r="P81" s="39"/>
      <c r="Q81" s="39"/>
    </row>
    <row r="82" spans="2:80" x14ac:dyDescent="0.3">
      <c r="B82" s="48" t="s">
        <v>40</v>
      </c>
      <c r="C82" s="10" t="str">
        <f>X17</f>
        <v xml:space="preserve">1.68,  (1.47 , 1.95), </v>
      </c>
      <c r="D82" s="10" t="str">
        <f>AB17</f>
        <v xml:space="preserve">2.23,  (1.36 , 2.77), </v>
      </c>
      <c r="E82" s="53"/>
      <c r="F82" s="39"/>
      <c r="G82" s="39"/>
      <c r="H82" s="39"/>
      <c r="L82" s="39"/>
      <c r="M82" s="39"/>
      <c r="N82" s="39"/>
      <c r="O82" s="39"/>
      <c r="P82" s="39"/>
      <c r="Q82" s="39"/>
    </row>
    <row r="83" spans="2:80" x14ac:dyDescent="0.3">
      <c r="B83" s="50" t="s">
        <v>41</v>
      </c>
      <c r="C83" s="10"/>
      <c r="D83" s="10"/>
      <c r="E83" s="53"/>
      <c r="F83" s="39"/>
      <c r="G83" s="39"/>
      <c r="H83" s="39"/>
      <c r="L83" s="39"/>
      <c r="M83" s="39"/>
      <c r="N83" s="39"/>
      <c r="O83" s="39"/>
      <c r="P83" s="39"/>
      <c r="Q83" s="39"/>
    </row>
    <row r="84" spans="2:80" x14ac:dyDescent="0.3">
      <c r="B84" s="48" t="s">
        <v>39</v>
      </c>
      <c r="C84" s="10" t="str">
        <f>X21</f>
        <v xml:space="preserve">1.88,  (1.69 , 3.26), </v>
      </c>
      <c r="D84" s="10" t="str">
        <f>AB21</f>
        <v xml:space="preserve">1.81,  (1.22 , 2.82), </v>
      </c>
      <c r="E84" s="53"/>
      <c r="F84" s="39"/>
      <c r="G84" s="39"/>
      <c r="H84" s="39"/>
      <c r="L84" s="39"/>
      <c r="M84" s="39"/>
      <c r="N84" s="39"/>
      <c r="O84" s="39"/>
      <c r="P84" s="39"/>
      <c r="Q84" s="39"/>
    </row>
    <row r="85" spans="2:80" x14ac:dyDescent="0.3">
      <c r="B85" s="48" t="s">
        <v>40</v>
      </c>
      <c r="C85" s="10" t="str">
        <f>X22</f>
        <v xml:space="preserve">2.19,  (1.87 , 2.55), </v>
      </c>
      <c r="D85" s="10" t="str">
        <f>AB22</f>
        <v xml:space="preserve">1.35,  (0.82 , 1.53), </v>
      </c>
      <c r="E85" s="53"/>
      <c r="F85" s="39"/>
      <c r="G85" s="39"/>
      <c r="H85" s="39"/>
      <c r="L85" s="39"/>
      <c r="M85" s="39"/>
      <c r="N85" s="39"/>
      <c r="O85" s="39"/>
      <c r="P85" s="39"/>
      <c r="Q85" s="39"/>
    </row>
    <row r="86" spans="2:80" x14ac:dyDescent="0.3">
      <c r="C86" s="39"/>
      <c r="D86" s="39"/>
      <c r="E86" s="39"/>
      <c r="F86" s="39"/>
      <c r="G86" s="39"/>
      <c r="H86" s="39"/>
      <c r="L86" s="39"/>
      <c r="M86" s="39"/>
      <c r="N86" s="39"/>
      <c r="O86" s="39"/>
      <c r="P86" s="39"/>
      <c r="Q86" s="39"/>
    </row>
    <row r="87" spans="2:80" x14ac:dyDescent="0.3">
      <c r="C87" s="39"/>
      <c r="D87" s="39"/>
      <c r="E87" s="39"/>
      <c r="F87" s="39"/>
      <c r="G87" s="39"/>
      <c r="H87" s="39"/>
      <c r="L87" s="39"/>
      <c r="M87" s="39"/>
      <c r="N87" s="39"/>
      <c r="O87" s="39"/>
      <c r="P87" s="39"/>
      <c r="Q87" s="39"/>
    </row>
    <row r="88" spans="2:80" x14ac:dyDescent="0.3">
      <c r="C88" s="39"/>
      <c r="D88" s="39"/>
      <c r="E88" s="39"/>
      <c r="F88" s="39"/>
      <c r="G88" s="39"/>
      <c r="H88" s="39"/>
      <c r="L88" s="39"/>
      <c r="M88" s="39"/>
      <c r="N88" s="39"/>
      <c r="O88" s="39"/>
      <c r="P88" s="39"/>
      <c r="Q88" s="39"/>
    </row>
    <row r="89" spans="2:80" x14ac:dyDescent="0.3">
      <c r="L89" s="39"/>
      <c r="M89" s="39"/>
      <c r="N89" s="39"/>
      <c r="O89" s="39"/>
      <c r="P89" s="39"/>
      <c r="Q89" s="39"/>
    </row>
    <row r="90" spans="2:80" ht="25.8" x14ac:dyDescent="0.5">
      <c r="B90" s="57" t="s">
        <v>175</v>
      </c>
      <c r="L90" s="39"/>
      <c r="M90" s="39"/>
      <c r="N90" s="39"/>
      <c r="O90" s="39"/>
      <c r="P90" s="39"/>
      <c r="Q90" s="39"/>
    </row>
    <row r="91" spans="2:80" x14ac:dyDescent="0.3">
      <c r="B91" t="s">
        <v>42</v>
      </c>
      <c r="C91" s="7">
        <v>44959</v>
      </c>
      <c r="L91" s="39"/>
      <c r="M91" s="39"/>
      <c r="N91" s="39"/>
      <c r="O91" s="39"/>
      <c r="P91" s="39"/>
      <c r="Q91" s="39"/>
    </row>
    <row r="92" spans="2:80" ht="15" thickBot="1" x14ac:dyDescent="0.35">
      <c r="L92" s="39"/>
      <c r="M92" s="39"/>
      <c r="N92" s="39"/>
      <c r="O92" s="39"/>
      <c r="P92" s="39"/>
      <c r="Q92" s="39"/>
    </row>
    <row r="93" spans="2:80" x14ac:dyDescent="0.3">
      <c r="B93" s="45" t="s">
        <v>37</v>
      </c>
      <c r="C93" s="46" t="s">
        <v>7</v>
      </c>
      <c r="D93" s="46" t="s">
        <v>0</v>
      </c>
      <c r="E93" s="47" t="s">
        <v>43</v>
      </c>
      <c r="F93" s="74"/>
      <c r="G93" s="74"/>
      <c r="H93" s="74"/>
      <c r="AF93" s="1" t="s">
        <v>187</v>
      </c>
      <c r="AG93" t="s">
        <v>188</v>
      </c>
      <c r="AH93" t="s">
        <v>189</v>
      </c>
      <c r="AI93" t="s">
        <v>190</v>
      </c>
      <c r="AJ93" t="s">
        <v>191</v>
      </c>
      <c r="AK93" t="s">
        <v>192</v>
      </c>
      <c r="AL93" t="s">
        <v>193</v>
      </c>
      <c r="AM93" t="s">
        <v>194</v>
      </c>
      <c r="AN93" t="s">
        <v>194</v>
      </c>
      <c r="AO93" t="s">
        <v>195</v>
      </c>
      <c r="AP93" t="s">
        <v>196</v>
      </c>
      <c r="AQ93" t="s">
        <v>197</v>
      </c>
      <c r="AR93" t="s">
        <v>198</v>
      </c>
      <c r="AS93" t="s">
        <v>199</v>
      </c>
      <c r="AT93" t="s">
        <v>200</v>
      </c>
      <c r="AW93" t="s">
        <v>378</v>
      </c>
      <c r="BJ93" s="1" t="s">
        <v>187</v>
      </c>
      <c r="BK93" t="s">
        <v>202</v>
      </c>
      <c r="BL93" t="s">
        <v>198</v>
      </c>
      <c r="BM93" t="s">
        <v>203</v>
      </c>
      <c r="BN93" t="s">
        <v>204</v>
      </c>
      <c r="BO93" t="s">
        <v>205</v>
      </c>
      <c r="BP93" t="s">
        <v>206</v>
      </c>
      <c r="BQ93" t="s">
        <v>207</v>
      </c>
      <c r="BR93" t="s">
        <v>208</v>
      </c>
      <c r="BS93" t="s">
        <v>209</v>
      </c>
      <c r="BT93" t="s">
        <v>210</v>
      </c>
      <c r="BU93" t="s">
        <v>203</v>
      </c>
      <c r="BV93" t="s">
        <v>211</v>
      </c>
      <c r="BW93" t="s">
        <v>212</v>
      </c>
      <c r="BX93" t="s">
        <v>213</v>
      </c>
      <c r="BY93" t="s">
        <v>380</v>
      </c>
      <c r="BZ93" t="s">
        <v>381</v>
      </c>
      <c r="CA93" t="s">
        <v>382</v>
      </c>
      <c r="CB93" t="s">
        <v>383</v>
      </c>
    </row>
    <row r="94" spans="2:80" x14ac:dyDescent="0.3">
      <c r="B94" s="48"/>
      <c r="C94" s="10"/>
      <c r="D94" s="10"/>
      <c r="E94" s="53"/>
      <c r="F94" s="39"/>
      <c r="G94" s="39"/>
      <c r="H94" s="39"/>
      <c r="AF94" s="1" t="s">
        <v>201</v>
      </c>
      <c r="AG94">
        <f>AG95/12</f>
        <v>12.5</v>
      </c>
      <c r="AH94" t="s">
        <v>162</v>
      </c>
      <c r="AI94">
        <f>AI95/12</f>
        <v>10.5</v>
      </c>
      <c r="AJ94">
        <f>AJ95/12</f>
        <v>10.916666666666666</v>
      </c>
      <c r="AK94">
        <f>AK95/12</f>
        <v>14.833333333333334</v>
      </c>
      <c r="AL94">
        <f>AL95/12</f>
        <v>9.8333333333333339</v>
      </c>
      <c r="AM94" t="s">
        <v>162</v>
      </c>
      <c r="AN94">
        <v>18</v>
      </c>
      <c r="AO94" t="s">
        <v>162</v>
      </c>
      <c r="AP94" t="s">
        <v>162</v>
      </c>
      <c r="AQ94">
        <f>AQ95/12</f>
        <v>10.833333333333334</v>
      </c>
      <c r="AR94" s="27" t="s">
        <v>162</v>
      </c>
      <c r="AS94">
        <f>AS95/12</f>
        <v>14.75</v>
      </c>
      <c r="AT94" s="27" t="s">
        <v>162</v>
      </c>
      <c r="AU94" s="27" t="s">
        <v>162</v>
      </c>
      <c r="AV94" s="27" t="s">
        <v>162</v>
      </c>
      <c r="AW94">
        <f>AW95/12</f>
        <v>12.583333333333334</v>
      </c>
      <c r="BJ94" s="1" t="s">
        <v>201</v>
      </c>
      <c r="BK94">
        <f>BK95/12</f>
        <v>10.583333333333334</v>
      </c>
      <c r="BL94">
        <f>BL95/12</f>
        <v>7.083333333333333</v>
      </c>
      <c r="BM94">
        <f>BM95/12</f>
        <v>7.333333333333333</v>
      </c>
      <c r="BN94" t="s">
        <v>162</v>
      </c>
      <c r="BO94">
        <f t="shared" ref="BO94:CA94" si="3">BO95/12</f>
        <v>11.166666666666666</v>
      </c>
      <c r="BP94">
        <f t="shared" si="3"/>
        <v>9.25</v>
      </c>
      <c r="BQ94">
        <f t="shared" si="3"/>
        <v>9.5</v>
      </c>
      <c r="BR94">
        <f t="shared" si="3"/>
        <v>6.75</v>
      </c>
      <c r="BS94">
        <f t="shared" si="3"/>
        <v>13.416666666666666</v>
      </c>
      <c r="BT94">
        <f t="shared" si="3"/>
        <v>8.6666666666666661</v>
      </c>
      <c r="BU94">
        <f t="shared" si="3"/>
        <v>11.833333333333334</v>
      </c>
      <c r="BV94">
        <f t="shared" si="3"/>
        <v>7.333333333333333</v>
      </c>
      <c r="BW94">
        <f t="shared" si="3"/>
        <v>15</v>
      </c>
      <c r="BX94">
        <f t="shared" si="3"/>
        <v>11.833333333333334</v>
      </c>
      <c r="BY94">
        <f t="shared" si="3"/>
        <v>11.916666666666666</v>
      </c>
      <c r="BZ94">
        <f t="shared" si="3"/>
        <v>15.75</v>
      </c>
      <c r="CA94">
        <f t="shared" si="3"/>
        <v>12.333333333333334</v>
      </c>
      <c r="CB94" t="s">
        <v>162</v>
      </c>
    </row>
    <row r="95" spans="2:80" x14ac:dyDescent="0.3">
      <c r="B95" s="49" t="s">
        <v>74</v>
      </c>
      <c r="C95" s="25"/>
      <c r="D95" s="25"/>
      <c r="E95" s="53"/>
      <c r="F95" s="39"/>
      <c r="G95" s="39"/>
      <c r="H95" s="39"/>
      <c r="AF95" s="1" t="s">
        <v>72</v>
      </c>
      <c r="AG95">
        <v>150</v>
      </c>
      <c r="AH95" t="s">
        <v>162</v>
      </c>
      <c r="AI95">
        <v>126</v>
      </c>
      <c r="AJ95">
        <v>131</v>
      </c>
      <c r="AK95">
        <v>178</v>
      </c>
      <c r="AL95">
        <v>118</v>
      </c>
      <c r="AM95" t="s">
        <v>162</v>
      </c>
      <c r="AN95">
        <v>224</v>
      </c>
      <c r="AO95" t="s">
        <v>162</v>
      </c>
      <c r="AP95" t="s">
        <v>162</v>
      </c>
      <c r="AQ95">
        <v>130</v>
      </c>
      <c r="AR95" s="27" t="s">
        <v>162</v>
      </c>
      <c r="AS95">
        <v>177</v>
      </c>
      <c r="AT95" s="27" t="s">
        <v>162</v>
      </c>
      <c r="AU95" s="27" t="s">
        <v>162</v>
      </c>
      <c r="AV95" s="27" t="s">
        <v>162</v>
      </c>
      <c r="AW95">
        <v>151</v>
      </c>
      <c r="BJ95" s="1" t="s">
        <v>72</v>
      </c>
      <c r="BK95">
        <v>127</v>
      </c>
      <c r="BL95">
        <v>85</v>
      </c>
      <c r="BM95">
        <v>88</v>
      </c>
      <c r="BN95" t="s">
        <v>162</v>
      </c>
      <c r="BO95">
        <v>134</v>
      </c>
      <c r="BP95">
        <v>111</v>
      </c>
      <c r="BQ95" s="27">
        <v>114</v>
      </c>
      <c r="BR95" s="1">
        <v>81</v>
      </c>
      <c r="BS95">
        <v>161</v>
      </c>
      <c r="BT95">
        <v>104</v>
      </c>
      <c r="BU95">
        <v>142</v>
      </c>
      <c r="BV95">
        <v>88</v>
      </c>
      <c r="BW95">
        <v>180</v>
      </c>
      <c r="BX95">
        <v>142</v>
      </c>
      <c r="BY95">
        <v>143</v>
      </c>
      <c r="BZ95">
        <v>189</v>
      </c>
      <c r="CA95">
        <v>148</v>
      </c>
      <c r="CB95" t="s">
        <v>162</v>
      </c>
    </row>
    <row r="96" spans="2:80" ht="43.2" x14ac:dyDescent="0.3">
      <c r="B96" s="50" t="s">
        <v>38</v>
      </c>
      <c r="C96" s="10"/>
      <c r="D96" s="10"/>
      <c r="E96" s="53"/>
      <c r="F96" s="39"/>
      <c r="G96" s="39"/>
      <c r="H96" s="39"/>
      <c r="R96" s="1" t="s">
        <v>183</v>
      </c>
      <c r="S96" s="1" t="s">
        <v>184</v>
      </c>
      <c r="T96" s="1"/>
      <c r="U96" s="1"/>
      <c r="V96" s="1"/>
      <c r="W96" s="1"/>
      <c r="AF96" s="1" t="s">
        <v>387</v>
      </c>
      <c r="AG96" s="119" t="s">
        <v>67</v>
      </c>
      <c r="AH96" s="1" t="s">
        <v>73</v>
      </c>
      <c r="AI96" s="119" t="s">
        <v>68</v>
      </c>
      <c r="AJ96" s="119" t="s">
        <v>63</v>
      </c>
      <c r="AK96" s="29" t="s">
        <v>388</v>
      </c>
      <c r="AL96" s="1" t="s">
        <v>181</v>
      </c>
      <c r="AM96" s="1" t="s">
        <v>73</v>
      </c>
      <c r="AN96" s="64" t="s">
        <v>182</v>
      </c>
      <c r="AO96" s="1" t="s">
        <v>389</v>
      </c>
      <c r="AP96" s="1" t="s">
        <v>181</v>
      </c>
      <c r="AQ96" s="119" t="s">
        <v>69</v>
      </c>
      <c r="AR96" s="1" t="s">
        <v>73</v>
      </c>
      <c r="AS96" s="1" t="s">
        <v>181</v>
      </c>
      <c r="AT96" s="1" t="s">
        <v>73</v>
      </c>
      <c r="AU96" s="1" t="s">
        <v>73</v>
      </c>
      <c r="AV96" s="1" t="s">
        <v>73</v>
      </c>
      <c r="AW96" s="119" t="s">
        <v>258</v>
      </c>
      <c r="AX96" s="1"/>
      <c r="BJ96" s="1" t="s">
        <v>180</v>
      </c>
      <c r="BK96" s="1" t="s">
        <v>54</v>
      </c>
      <c r="BL96" s="65" t="s">
        <v>214</v>
      </c>
      <c r="BM96" s="65" t="s">
        <v>214</v>
      </c>
      <c r="BN96" s="65" t="s">
        <v>214</v>
      </c>
      <c r="BO96" s="1" t="s">
        <v>51</v>
      </c>
      <c r="BP96" s="1" t="s">
        <v>53</v>
      </c>
      <c r="BQ96" s="1" t="s">
        <v>61</v>
      </c>
      <c r="BR96" s="65" t="s">
        <v>214</v>
      </c>
      <c r="BS96" s="65" t="s">
        <v>214</v>
      </c>
      <c r="BT96" s="65" t="s">
        <v>214</v>
      </c>
      <c r="BU96" s="65" t="s">
        <v>214</v>
      </c>
      <c r="BV96" s="65" t="s">
        <v>214</v>
      </c>
      <c r="BW96" s="29" t="s">
        <v>388</v>
      </c>
      <c r="BX96" s="65" t="s">
        <v>214</v>
      </c>
      <c r="BY96" s="1" t="s">
        <v>266</v>
      </c>
      <c r="BZ96" s="65" t="s">
        <v>214</v>
      </c>
      <c r="CA96" s="1"/>
      <c r="CB96" s="1"/>
    </row>
    <row r="97" spans="2:80" ht="28.8" x14ac:dyDescent="0.3">
      <c r="B97" s="48" t="s">
        <v>39</v>
      </c>
      <c r="C97" s="10" t="str">
        <f>X103</f>
        <v>1.89,  (1.26 , 2.12), 5</v>
      </c>
      <c r="D97" s="10" t="str">
        <f>AB103</f>
        <v>3.1,  (2.46 , 3.52), 5</v>
      </c>
      <c r="E97" s="53"/>
      <c r="F97" s="39"/>
      <c r="G97" s="39"/>
      <c r="H97" s="39"/>
      <c r="R97">
        <f>MEDIAN(AG97:AU97)</f>
        <v>-7</v>
      </c>
      <c r="S97">
        <f>AVERAGE(AG97:AU97)</f>
        <v>-1</v>
      </c>
      <c r="AF97" s="1" t="s">
        <v>390</v>
      </c>
      <c r="AG97">
        <f>AG95-BS95</f>
        <v>-11</v>
      </c>
      <c r="AH97" t="s">
        <v>73</v>
      </c>
      <c r="AI97">
        <f>AI95-BT95</f>
        <v>22</v>
      </c>
      <c r="AJ97">
        <f>AJ95-BO95</f>
        <v>-3</v>
      </c>
      <c r="AK97" s="63" t="s">
        <v>162</v>
      </c>
      <c r="AL97" t="s">
        <v>73</v>
      </c>
      <c r="AM97" t="s">
        <v>73</v>
      </c>
      <c r="AO97" t="s">
        <v>73</v>
      </c>
      <c r="AP97" t="s">
        <v>73</v>
      </c>
      <c r="AQ97">
        <f>AQ95-BU95</f>
        <v>-12</v>
      </c>
      <c r="AR97" t="s">
        <v>73</v>
      </c>
      <c r="AS97" t="s">
        <v>73</v>
      </c>
      <c r="AT97" t="s">
        <v>73</v>
      </c>
      <c r="AU97" t="s">
        <v>73</v>
      </c>
      <c r="AV97" t="s">
        <v>73</v>
      </c>
      <c r="AW97">
        <f>AW95-CC95</f>
        <v>151</v>
      </c>
      <c r="BJ97" s="1" t="s">
        <v>185</v>
      </c>
    </row>
    <row r="98" spans="2:80" x14ac:dyDescent="0.3">
      <c r="B98" s="48" t="s">
        <v>40</v>
      </c>
      <c r="C98" s="10" t="str">
        <f>X104</f>
        <v>1.76,  (1.37 , 1.85), 4</v>
      </c>
      <c r="D98" s="10" t="str">
        <f>AB104</f>
        <v>2.13,  (0.98 , 2.37), 4</v>
      </c>
      <c r="E98" s="53"/>
      <c r="F98" s="39"/>
      <c r="G98" s="39"/>
      <c r="H98" s="39"/>
      <c r="S98" s="38" t="s">
        <v>218</v>
      </c>
      <c r="T98" s="38"/>
      <c r="U98" s="38"/>
      <c r="V98" s="38"/>
      <c r="W98" s="38"/>
      <c r="AF98" s="1" t="s">
        <v>391</v>
      </c>
      <c r="AG98" s="7">
        <v>44949</v>
      </c>
      <c r="AH98" t="s">
        <v>73</v>
      </c>
      <c r="AI98" s="7">
        <v>44949</v>
      </c>
      <c r="AJ98" s="7">
        <v>44949</v>
      </c>
      <c r="AK98" s="7">
        <v>44995</v>
      </c>
      <c r="AL98" t="s">
        <v>73</v>
      </c>
      <c r="AM98" t="s">
        <v>73</v>
      </c>
      <c r="AO98" t="s">
        <v>73</v>
      </c>
      <c r="AP98" t="s">
        <v>73</v>
      </c>
      <c r="AQ98" s="7">
        <v>44949</v>
      </c>
      <c r="AR98" t="s">
        <v>73</v>
      </c>
      <c r="AS98" t="s">
        <v>73</v>
      </c>
      <c r="AT98" t="s">
        <v>73</v>
      </c>
      <c r="AU98" t="s">
        <v>73</v>
      </c>
      <c r="AV98" t="s">
        <v>73</v>
      </c>
      <c r="AW98" s="7">
        <v>44979</v>
      </c>
      <c r="BJ98" s="1" t="s">
        <v>186</v>
      </c>
      <c r="BK98" s="7">
        <v>44949</v>
      </c>
      <c r="BO98" s="7">
        <v>44949</v>
      </c>
      <c r="BP98" s="7">
        <v>44949</v>
      </c>
      <c r="BQ98" s="7">
        <v>44949</v>
      </c>
      <c r="BS98" s="7">
        <v>44949</v>
      </c>
    </row>
    <row r="99" spans="2:80" x14ac:dyDescent="0.3">
      <c r="B99" s="50" t="s">
        <v>41</v>
      </c>
      <c r="C99" s="10"/>
      <c r="D99" s="10"/>
      <c r="E99" s="53"/>
      <c r="F99" s="39"/>
      <c r="G99" s="39"/>
      <c r="H99" s="39"/>
      <c r="S99" t="s">
        <v>219</v>
      </c>
    </row>
    <row r="100" spans="2:80" x14ac:dyDescent="0.3">
      <c r="B100" s="48" t="s">
        <v>39</v>
      </c>
      <c r="C100" s="10" t="str">
        <f t="shared" ref="C100:C101" si="4">X106</f>
        <v>1.74,  (1.41 , 1.88), 1</v>
      </c>
      <c r="D100" s="10" t="str">
        <f t="shared" ref="D100:D101" si="5">AB106</f>
        <v>1.55,  (1.01 , 2.61), 1</v>
      </c>
      <c r="E100" s="53"/>
      <c r="F100" s="39"/>
      <c r="G100" s="39"/>
      <c r="H100" s="39"/>
      <c r="R100" s="28" t="s">
        <v>178</v>
      </c>
      <c r="S100" t="s">
        <v>215</v>
      </c>
    </row>
    <row r="101" spans="2:80" x14ac:dyDescent="0.3">
      <c r="B101" s="48" t="s">
        <v>40</v>
      </c>
      <c r="C101" s="10" t="str">
        <f t="shared" si="4"/>
        <v>2.03,  (1.95 , 2.11), 1</v>
      </c>
      <c r="D101" s="10" t="str">
        <f t="shared" si="5"/>
        <v>1.47,  (1.08 , 1.61), 1</v>
      </c>
      <c r="E101" s="53"/>
      <c r="F101" s="39"/>
      <c r="G101" s="39"/>
      <c r="H101" s="39"/>
      <c r="S101" t="s">
        <v>259</v>
      </c>
      <c r="T101" t="s">
        <v>260</v>
      </c>
      <c r="U101" t="s">
        <v>259</v>
      </c>
      <c r="V101" t="s">
        <v>260</v>
      </c>
      <c r="W101" s="28"/>
      <c r="AF101" s="49" t="s">
        <v>74</v>
      </c>
      <c r="BJ101" s="49" t="s">
        <v>74</v>
      </c>
    </row>
    <row r="102" spans="2:80" ht="15" thickBot="1" x14ac:dyDescent="0.35">
      <c r="B102" s="51"/>
      <c r="C102" s="55"/>
      <c r="D102" s="55"/>
      <c r="E102" s="56"/>
      <c r="F102" s="39"/>
      <c r="G102" s="39"/>
      <c r="H102" s="39"/>
      <c r="AF102" s="50" t="s">
        <v>38</v>
      </c>
      <c r="BJ102" s="50" t="s">
        <v>38</v>
      </c>
    </row>
    <row r="103" spans="2:80" x14ac:dyDescent="0.3">
      <c r="P103" t="s">
        <v>233</v>
      </c>
      <c r="Q103">
        <f>_xlfn.T.TEST(AG103:BF103,BK103:CI103,2,2)</f>
        <v>5.6982132667968484E-2</v>
      </c>
      <c r="R103" t="s">
        <v>171</v>
      </c>
      <c r="S103" s="39">
        <v>5</v>
      </c>
      <c r="T103" s="39">
        <v>10</v>
      </c>
      <c r="U103" s="39">
        <v>5</v>
      </c>
      <c r="V103" s="39">
        <v>9</v>
      </c>
      <c r="W103" s="68"/>
      <c r="X103" t="str">
        <f>CONCATENATE(TRUNC(Y103,2), ",  (", TRUNC(Z103,2), " , ", TRUNC(AA103,2), "), ", S103)</f>
        <v>1.89,  (1.26 , 2.12), 5</v>
      </c>
      <c r="Y103">
        <f>MEDIAN(AG103:BF103)</f>
        <v>1.8963994785513201</v>
      </c>
      <c r="Z103">
        <f>_xlfn.PERCENTILE.INC(AG103:BF103, 0.25)</f>
        <v>1.2682005701616701</v>
      </c>
      <c r="AA103">
        <f>_xlfn.PERCENTILE.INC(AG103:BF103, 0.75)</f>
        <v>2.1215017210032299</v>
      </c>
      <c r="AB103" t="str">
        <f>CONCATENATE(TRUNC(AC103,2), ",  (", TRUNC(AD103,2), " , ", TRUNC(AE103,2), "), ", U103)</f>
        <v>3.1,  (2.46 , 3.52), 5</v>
      </c>
      <c r="AC103">
        <f>MEDIAN(BK103:CI103)</f>
        <v>3.1056485719609048</v>
      </c>
      <c r="AD103">
        <f>_xlfn.PERCENTILE.INC(BK103:CI103, 0.25)</f>
        <v>2.4688287167100578</v>
      </c>
      <c r="AE103">
        <f>_xlfn.PERCENTILE.INC(BK103:CI103, 0.75)</f>
        <v>3.5223585732738627</v>
      </c>
      <c r="AF103" s="48" t="s">
        <v>39</v>
      </c>
      <c r="AG103" s="58">
        <v>2.8195488086367302</v>
      </c>
      <c r="AH103" s="59" t="s">
        <v>162</v>
      </c>
      <c r="AI103" s="58">
        <v>1.0353460761712401</v>
      </c>
      <c r="AJ103" s="60">
        <v>1.2682005701616701</v>
      </c>
      <c r="AK103" s="63" t="s">
        <v>162</v>
      </c>
      <c r="AL103" s="59" t="s">
        <v>162</v>
      </c>
      <c r="AM103" s="58" t="s">
        <v>162</v>
      </c>
      <c r="AN103" s="63" t="s">
        <v>162</v>
      </c>
      <c r="AO103" s="61" t="s">
        <v>162</v>
      </c>
      <c r="AP103" s="61" t="s">
        <v>162</v>
      </c>
      <c r="AQ103">
        <v>1.8963994785513201</v>
      </c>
      <c r="AR103" s="58" t="s">
        <v>162</v>
      </c>
      <c r="AS103" s="61" t="s">
        <v>162</v>
      </c>
      <c r="AT103" s="58" t="s">
        <v>162</v>
      </c>
      <c r="AU103" s="58" t="s">
        <v>162</v>
      </c>
      <c r="AV103" s="58" t="s">
        <v>162</v>
      </c>
      <c r="AW103" s="116">
        <v>2.1215017210032299</v>
      </c>
      <c r="BJ103" s="48" t="s">
        <v>39</v>
      </c>
      <c r="BK103" s="58">
        <v>2.2898171326099801</v>
      </c>
      <c r="BL103" s="62" t="s">
        <v>162</v>
      </c>
      <c r="BM103" s="62" t="s">
        <v>162</v>
      </c>
      <c r="BN103" s="60" t="s">
        <v>162</v>
      </c>
      <c r="BO103" s="58">
        <v>4.0945895135836201</v>
      </c>
      <c r="BP103" s="58">
        <v>1.4709913135435499</v>
      </c>
      <c r="BQ103" s="58">
        <v>3.2054336749115202</v>
      </c>
      <c r="BR103" s="62" t="s">
        <v>162</v>
      </c>
      <c r="BS103" s="62" t="s">
        <v>162</v>
      </c>
      <c r="BT103" s="62" t="s">
        <v>162</v>
      </c>
      <c r="BU103" s="62" t="s">
        <v>162</v>
      </c>
      <c r="BV103" s="62" t="s">
        <v>162</v>
      </c>
      <c r="BW103" s="62" t="s">
        <v>162</v>
      </c>
      <c r="BX103" s="59" t="s">
        <v>162</v>
      </c>
      <c r="BY103" s="116">
        <v>3.6280002060613099</v>
      </c>
      <c r="BZ103" s="62" t="s">
        <v>162</v>
      </c>
      <c r="CA103" s="116">
        <v>3.0058634690102899</v>
      </c>
      <c r="CB103" t="s">
        <v>162</v>
      </c>
    </row>
    <row r="104" spans="2:80" x14ac:dyDescent="0.3">
      <c r="P104" t="s">
        <v>173</v>
      </c>
      <c r="Q104">
        <f>_xlfn.T.TEST(AG104:BF104,BK104:CI104,2,2)</f>
        <v>0.57976122016826048</v>
      </c>
      <c r="R104" t="s">
        <v>171</v>
      </c>
      <c r="S104" s="39">
        <v>4</v>
      </c>
      <c r="T104" s="39">
        <v>10</v>
      </c>
      <c r="U104" s="39">
        <v>4</v>
      </c>
      <c r="V104" s="39">
        <v>9</v>
      </c>
      <c r="W104" s="68"/>
      <c r="X104" t="str">
        <f t="shared" ref="X104:X107" si="6">CONCATENATE(TRUNC(Y104,2), ",  (", TRUNC(Z104,2), " , ", TRUNC(AA104,2), "), ", S104)</f>
        <v>1.76,  (1.37 , 1.85), 4</v>
      </c>
      <c r="Y104">
        <f>MEDIAN(AG104:BF104)</f>
        <v>1.7655404843806799</v>
      </c>
      <c r="Z104">
        <f>_xlfn.PERCENTILE.INC(AG104:BF104, 0.25)</f>
        <v>1.37572067569113</v>
      </c>
      <c r="AA104">
        <f>_xlfn.PERCENTILE.INC(AG104:BF104, 0.75)</f>
        <v>1.85086824941409</v>
      </c>
      <c r="AB104" t="str">
        <f t="shared" ref="AB104:AB107" si="7">CONCATENATE(TRUNC(AC104,2), ",  (", TRUNC(AD104,2), " , ", TRUNC(AE104,2), "), ", U104)</f>
        <v>2.13,  (0.98 , 2.37), 4</v>
      </c>
      <c r="AC104">
        <f>MEDIAN(BK104:CI104)</f>
        <v>2.1313729715246401</v>
      </c>
      <c r="AD104">
        <f>_xlfn.PERCENTILE.INC(BK104:CI104, 0.25)</f>
        <v>0.98223465597004855</v>
      </c>
      <c r="AE104">
        <f>_xlfn.PERCENTILE.INC(BK104:CI104, 0.75)</f>
        <v>2.3755160581467152</v>
      </c>
      <c r="AF104" s="48" t="s">
        <v>40</v>
      </c>
      <c r="AG104" s="58">
        <v>1.92065960521003</v>
      </c>
      <c r="AH104" s="59" t="s">
        <v>162</v>
      </c>
      <c r="AI104" s="58">
        <v>1.85086824941409</v>
      </c>
      <c r="AJ104" s="58">
        <v>1.37572067569113</v>
      </c>
      <c r="AK104" s="59" t="s">
        <v>162</v>
      </c>
      <c r="AL104" s="59" t="s">
        <v>162</v>
      </c>
      <c r="AM104" s="58" t="s">
        <v>162</v>
      </c>
      <c r="AN104" s="61" t="s">
        <v>162</v>
      </c>
      <c r="AO104" s="61" t="s">
        <v>162</v>
      </c>
      <c r="AP104" s="61" t="s">
        <v>162</v>
      </c>
      <c r="AQ104">
        <v>1.7655404843806799</v>
      </c>
      <c r="AR104" s="58" t="s">
        <v>162</v>
      </c>
      <c r="AS104" s="61" t="s">
        <v>162</v>
      </c>
      <c r="AT104" s="58" t="s">
        <v>162</v>
      </c>
      <c r="AU104" s="58" t="s">
        <v>162</v>
      </c>
      <c r="AV104" s="58" t="s">
        <v>162</v>
      </c>
      <c r="AW104" s="116">
        <v>0.96979518498437101</v>
      </c>
      <c r="BJ104" s="48" t="s">
        <v>40</v>
      </c>
      <c r="BK104" s="58">
        <v>1.11700846174386</v>
      </c>
      <c r="BL104" s="62" t="s">
        <v>162</v>
      </c>
      <c r="BM104" s="62" t="s">
        <v>162</v>
      </c>
      <c r="BN104" s="62" t="s">
        <v>162</v>
      </c>
      <c r="BO104" s="58">
        <v>2.2407940760098302</v>
      </c>
      <c r="BP104" s="58">
        <v>2.0313435100000001</v>
      </c>
      <c r="BQ104" s="58">
        <v>2.7796820045573698</v>
      </c>
      <c r="BR104" s="62" t="s">
        <v>162</v>
      </c>
      <c r="BS104" s="62" t="s">
        <v>162</v>
      </c>
      <c r="BT104" s="62" t="s">
        <v>162</v>
      </c>
      <c r="BU104" s="62" t="s">
        <v>162</v>
      </c>
      <c r="BV104" s="62" t="s">
        <v>162</v>
      </c>
      <c r="BW104" s="59" t="s">
        <v>162</v>
      </c>
      <c r="BX104" s="58">
        <v>0.57791323864861399</v>
      </c>
      <c r="BY104" s="116">
        <v>3.2902077967872501</v>
      </c>
      <c r="BZ104" s="116">
        <v>0.53421048616304501</v>
      </c>
      <c r="CA104" s="116">
        <v>2.2314024330492801</v>
      </c>
      <c r="CB104" t="s">
        <v>162</v>
      </c>
    </row>
    <row r="105" spans="2:80" x14ac:dyDescent="0.3">
      <c r="AF105" s="50" t="s">
        <v>41</v>
      </c>
      <c r="AN105" s="63" t="s">
        <v>162</v>
      </c>
      <c r="BJ105" s="50" t="s">
        <v>41</v>
      </c>
    </row>
    <row r="106" spans="2:80" x14ac:dyDescent="0.3">
      <c r="P106" t="s">
        <v>172</v>
      </c>
      <c r="Q106">
        <f>_xlfn.T.TEST(AG106:BF106,BK106:CI106,2,2)</f>
        <v>0.78487548785364369</v>
      </c>
      <c r="R106" t="s">
        <v>171</v>
      </c>
      <c r="S106" s="39">
        <v>1</v>
      </c>
      <c r="T106" s="39">
        <v>7</v>
      </c>
      <c r="U106" s="39">
        <v>1</v>
      </c>
      <c r="V106" s="39">
        <v>3</v>
      </c>
      <c r="W106" s="68"/>
      <c r="X106" t="str">
        <f t="shared" si="6"/>
        <v>1.74,  (1.41 , 1.88), 1</v>
      </c>
      <c r="Y106">
        <f>MEDIAN(AG106:BF106)</f>
        <v>1.7405020880969599</v>
      </c>
      <c r="Z106">
        <f>_xlfn.PERCENTILE.INC(AG106:BF106, 0.25)</f>
        <v>1.4161592237265099</v>
      </c>
      <c r="AA106">
        <f>_xlfn.PERCENTILE.INC(AG106:BF106, 0.75)</f>
        <v>1.8837692386865601</v>
      </c>
      <c r="AB106" t="str">
        <f t="shared" si="7"/>
        <v>1.55,  (1.01 , 2.61), 1</v>
      </c>
      <c r="AC106">
        <f>MEDIAN(BK106:CI106)</f>
        <v>1.55389702055308</v>
      </c>
      <c r="AD106">
        <f>_xlfn.PERCENTILE.INC(BK106:CI106, 0.25)</f>
        <v>1.0148573292651475</v>
      </c>
      <c r="AE106">
        <f>_xlfn.PERCENTILE.INC(BK106:CI106, 0.75)</f>
        <v>2.617188223854765</v>
      </c>
      <c r="AF106" s="48" t="s">
        <v>39</v>
      </c>
      <c r="AG106" t="s">
        <v>162</v>
      </c>
      <c r="AH106" t="s">
        <v>162</v>
      </c>
      <c r="AI106" t="s">
        <v>162</v>
      </c>
      <c r="AJ106" t="s">
        <v>162</v>
      </c>
      <c r="AK106" s="59" t="s">
        <v>162</v>
      </c>
      <c r="AL106" s="58">
        <v>1.4161592237265099</v>
      </c>
      <c r="AM106" s="58" t="s">
        <v>162</v>
      </c>
      <c r="AN106" s="58">
        <v>1.7405020880969599</v>
      </c>
      <c r="AO106" s="59" t="s">
        <v>162</v>
      </c>
      <c r="AP106" s="59" t="s">
        <v>162</v>
      </c>
      <c r="AQ106" s="58">
        <v>1.40354475865929</v>
      </c>
      <c r="AR106" s="58" t="s">
        <v>162</v>
      </c>
      <c r="AS106" s="58">
        <v>1.8837692386865601</v>
      </c>
      <c r="AT106" s="58" t="s">
        <v>162</v>
      </c>
      <c r="AU106" s="58" t="s">
        <v>162</v>
      </c>
      <c r="AV106" s="58" t="s">
        <v>162</v>
      </c>
      <c r="AW106" s="116">
        <v>2.2784577091748002</v>
      </c>
      <c r="BJ106" s="48" t="s">
        <v>39</v>
      </c>
      <c r="BK106" t="s">
        <v>162</v>
      </c>
      <c r="BL106" t="s">
        <v>162</v>
      </c>
      <c r="BM106" t="s">
        <v>162</v>
      </c>
      <c r="BN106" t="s">
        <v>162</v>
      </c>
      <c r="BO106" t="s">
        <v>162</v>
      </c>
      <c r="BP106" t="s">
        <v>162</v>
      </c>
      <c r="BQ106" t="s">
        <v>162</v>
      </c>
      <c r="BR106" t="s">
        <v>162</v>
      </c>
      <c r="BS106" s="58">
        <v>0.89316309394488103</v>
      </c>
      <c r="BT106" s="116">
        <v>2.72033210885757</v>
      </c>
      <c r="BU106" s="58">
        <v>2.51404433885196</v>
      </c>
      <c r="BV106" s="58">
        <v>3.4387836114208898</v>
      </c>
      <c r="BW106" s="59" t="s">
        <v>162</v>
      </c>
      <c r="BX106" s="58">
        <v>0.90489098867090501</v>
      </c>
      <c r="BY106" s="59" t="s">
        <v>162</v>
      </c>
      <c r="BZ106" s="116">
        <v>1.1248236698593901</v>
      </c>
      <c r="CA106" s="116">
        <v>1.55389702055308</v>
      </c>
      <c r="CB106" t="s">
        <v>162</v>
      </c>
    </row>
    <row r="107" spans="2:80" x14ac:dyDescent="0.3">
      <c r="P107" t="s">
        <v>172</v>
      </c>
      <c r="Q107">
        <f>_xlfn.T.TEST(AG107:BF107,BK107:CI107,2,2)</f>
        <v>0.24753485956738353</v>
      </c>
      <c r="R107" t="s">
        <v>171</v>
      </c>
      <c r="S107" s="39">
        <v>1</v>
      </c>
      <c r="T107" s="39">
        <v>7</v>
      </c>
      <c r="U107" s="39">
        <v>1</v>
      </c>
      <c r="V107" s="39">
        <v>3</v>
      </c>
      <c r="W107" s="68"/>
      <c r="X107" t="str">
        <f t="shared" si="6"/>
        <v>2.03,  (1.95 , 2.11), 1</v>
      </c>
      <c r="Y107">
        <f>MEDIAN(AG107:BF107)</f>
        <v>2.03522409276863</v>
      </c>
      <c r="Z107">
        <f>_xlfn.PERCENTILE.INC(AG107:BF107, 0.25)</f>
        <v>1.9550138213741151</v>
      </c>
      <c r="AA107">
        <f>_xlfn.PERCENTILE.INC(AG107:BF107, 0.75)</f>
        <v>2.115434364163145</v>
      </c>
      <c r="AB107" t="str">
        <f t="shared" si="7"/>
        <v>1.47,  (1.08 , 1.61), 1</v>
      </c>
      <c r="AC107">
        <f>MEDIAN(BK107:CI107)</f>
        <v>1.47958805400294</v>
      </c>
      <c r="AD107">
        <f>_xlfn.PERCENTILE.INC(BK107:CI107, 0.25)</f>
        <v>1.0890118619621401</v>
      </c>
      <c r="AE107">
        <f>_xlfn.PERCENTILE.INC(BK107:CI107, 0.75)</f>
        <v>1.619084691901935</v>
      </c>
      <c r="AF107" s="48" t="s">
        <v>40</v>
      </c>
      <c r="AG107" t="s">
        <v>162</v>
      </c>
      <c r="AH107" t="s">
        <v>162</v>
      </c>
      <c r="AI107" t="s">
        <v>162</v>
      </c>
      <c r="AJ107" t="s">
        <v>162</v>
      </c>
      <c r="AK107" s="59" t="s">
        <v>162</v>
      </c>
      <c r="AL107" s="59" t="s">
        <v>162</v>
      </c>
      <c r="AM107" s="58" t="s">
        <v>162</v>
      </c>
      <c r="AN107" s="61" t="s">
        <v>162</v>
      </c>
      <c r="AO107" s="59" t="s">
        <v>162</v>
      </c>
      <c r="AP107" s="59" t="s">
        <v>162</v>
      </c>
      <c r="AQ107" s="58">
        <v>1.8748035499796001</v>
      </c>
      <c r="AR107" s="58" t="s">
        <v>162</v>
      </c>
      <c r="AS107" s="61" t="s">
        <v>162</v>
      </c>
      <c r="AT107" s="58" t="s">
        <v>162</v>
      </c>
      <c r="AU107" s="58" t="s">
        <v>162</v>
      </c>
      <c r="AV107" s="58" t="s">
        <v>162</v>
      </c>
      <c r="AW107" s="116">
        <v>2.19564463555766</v>
      </c>
      <c r="BJ107" s="48" t="s">
        <v>40</v>
      </c>
      <c r="BK107" t="s">
        <v>162</v>
      </c>
      <c r="BL107" t="s">
        <v>162</v>
      </c>
      <c r="BM107" t="s">
        <v>162</v>
      </c>
      <c r="BN107" t="s">
        <v>162</v>
      </c>
      <c r="BO107" t="s">
        <v>162</v>
      </c>
      <c r="BP107" t="s">
        <v>162</v>
      </c>
      <c r="BQ107" t="s">
        <v>162</v>
      </c>
      <c r="BR107" t="s">
        <v>162</v>
      </c>
      <c r="BS107" s="58">
        <v>0.52535944249941502</v>
      </c>
      <c r="BT107" s="116">
        <v>1.35482418737221</v>
      </c>
      <c r="BU107" s="58">
        <v>1.70075307373037</v>
      </c>
      <c r="BV107" s="58">
        <v>2.5404880981468598</v>
      </c>
      <c r="BW107" s="62" t="s">
        <v>162</v>
      </c>
      <c r="BX107" s="58">
        <v>1.47958805400294</v>
      </c>
      <c r="BY107" s="58">
        <v>0.82319953655207001</v>
      </c>
      <c r="BZ107" s="59" t="s">
        <v>162</v>
      </c>
      <c r="CA107" s="116">
        <v>1.5374163100735001</v>
      </c>
      <c r="CB107" t="s">
        <v>162</v>
      </c>
    </row>
    <row r="108" spans="2:80" x14ac:dyDescent="0.3">
      <c r="AQ108" t="s">
        <v>231</v>
      </c>
    </row>
  </sheetData>
  <mergeCells count="8">
    <mergeCell ref="B62:D62"/>
    <mergeCell ref="B63:D63"/>
    <mergeCell ref="C15:D15"/>
    <mergeCell ref="E15:F15"/>
    <mergeCell ref="C25:D25"/>
    <mergeCell ref="E25:F25"/>
    <mergeCell ref="B50:D50"/>
    <mergeCell ref="B51:D51"/>
  </mergeCells>
  <pageMargins left="0.7" right="0.7" top="0.75" bottom="0.75" header="0.3" footer="0.3"/>
  <pageSetup scale="1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32B1A-C2C6-4AB0-A61A-16C2C62FB97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2FC9B-D321-4CDF-8C42-94222B4EF741}">
  <sheetPr>
    <pageSetUpPr fitToPage="1"/>
  </sheetPr>
  <dimension ref="B1:CM108"/>
  <sheetViews>
    <sheetView zoomScaleNormal="100" workbookViewId="0">
      <pane xSplit="2" ySplit="7" topLeftCell="C10" activePane="bottomRight" state="frozen"/>
      <selection pane="topRight" activeCell="B1" sqref="B1"/>
      <selection pane="bottomLeft" activeCell="H30" sqref="H30"/>
      <selection pane="bottomRight" activeCell="D10" sqref="D10"/>
    </sheetView>
  </sheetViews>
  <sheetFormatPr defaultRowHeight="14.4" x14ac:dyDescent="0.3"/>
  <cols>
    <col min="1" max="1" width="5.44140625" customWidth="1"/>
    <col min="2" max="2" width="25.5546875" customWidth="1"/>
    <col min="3" max="3" width="20.88671875" customWidth="1"/>
    <col min="4" max="4" width="22.44140625" customWidth="1"/>
    <col min="5" max="8" width="22.6640625" customWidth="1"/>
    <col min="9" max="9" width="22.44140625" customWidth="1"/>
    <col min="10" max="11" width="22.6640625" customWidth="1"/>
    <col min="12" max="12" width="12.6640625" customWidth="1"/>
    <col min="13" max="13" width="18.6640625" customWidth="1"/>
    <col min="14" max="14" width="12.6640625" customWidth="1"/>
    <col min="15" max="15" width="27.6640625" customWidth="1"/>
    <col min="16" max="17" width="12.6640625" customWidth="1"/>
    <col min="18" max="18" width="32.88671875" customWidth="1"/>
    <col min="19" max="23" width="12.6640625" customWidth="1"/>
    <col min="24" max="24" width="26" customWidth="1"/>
    <col min="25" max="27" width="12.6640625" customWidth="1"/>
    <col min="28" max="28" width="26.109375" customWidth="1"/>
    <col min="29" max="31" width="12.6640625" customWidth="1"/>
    <col min="32" max="32" width="28.33203125" customWidth="1"/>
    <col min="33" max="61" width="12.6640625" customWidth="1"/>
    <col min="62" max="62" width="23.109375" customWidth="1"/>
    <col min="63" max="90" width="12.6640625" customWidth="1"/>
  </cols>
  <sheetData>
    <row r="1" spans="2:91" x14ac:dyDescent="0.3">
      <c r="B1" t="s">
        <v>42</v>
      </c>
      <c r="L1" s="11" t="s">
        <v>47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2"/>
      <c r="Z1" s="12"/>
      <c r="AA1" s="12"/>
      <c r="AB1" s="12"/>
      <c r="AC1" s="12"/>
      <c r="AD1" s="12"/>
      <c r="AE1" s="12"/>
      <c r="AG1" s="13" t="s">
        <v>48</v>
      </c>
      <c r="AH1" s="13"/>
      <c r="AI1" s="13"/>
      <c r="AJ1" s="13"/>
    </row>
    <row r="2" spans="2:91" x14ac:dyDescent="0.3">
      <c r="B2" s="99">
        <v>45021</v>
      </c>
      <c r="X2" s="123"/>
      <c r="Y2" s="124" t="s">
        <v>404</v>
      </c>
      <c r="Z2" s="123"/>
      <c r="AA2" s="123"/>
    </row>
    <row r="3" spans="2:91" ht="28.8" x14ac:dyDescent="0.3">
      <c r="X3" s="28" t="s">
        <v>158</v>
      </c>
      <c r="Y3" s="28" t="s">
        <v>147</v>
      </c>
      <c r="Z3" s="28" t="s">
        <v>156</v>
      </c>
      <c r="AA3" s="28" t="s">
        <v>157</v>
      </c>
      <c r="AG3" s="14"/>
      <c r="AH3" s="15" t="s">
        <v>49</v>
      </c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J3" s="16"/>
      <c r="BK3" s="17"/>
      <c r="BL3" s="17"/>
      <c r="BM3" s="17"/>
      <c r="BN3" s="17"/>
      <c r="BO3" s="18" t="s">
        <v>50</v>
      </c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</row>
    <row r="4" spans="2:91" x14ac:dyDescent="0.3">
      <c r="X4" t="str">
        <f>CONCATENATE(TRUNC(Y4,2), ",  (", TRUNC(Z4,2), " , ", TRUNC(AA4,2), "), ", S4)</f>
        <v xml:space="preserve">10.91,  (9.25 , 12.58), </v>
      </c>
      <c r="Y4">
        <f>MEDIAN(AG9:CC9)</f>
        <v>10.916666666666666</v>
      </c>
      <c r="Z4">
        <f>_xlfn.PERCENTILE.INC(AG9:CC9, 0.25)</f>
        <v>9.25</v>
      </c>
      <c r="AA4">
        <f>_xlfn.PERCENTILE.INC(AG9:CC9, 0.75)</f>
        <v>12.583333333333334</v>
      </c>
      <c r="BJ4" s="16"/>
    </row>
    <row r="5" spans="2:91" ht="43.2" x14ac:dyDescent="0.3">
      <c r="I5" s="1"/>
      <c r="J5" s="1"/>
      <c r="AF5" s="1" t="s">
        <v>96</v>
      </c>
      <c r="AG5" s="1" t="s">
        <v>51</v>
      </c>
      <c r="AH5" s="1" t="s">
        <v>52</v>
      </c>
      <c r="AI5" s="1" t="s">
        <v>53</v>
      </c>
      <c r="AJ5" s="1" t="s">
        <v>54</v>
      </c>
      <c r="AK5" s="1" t="s">
        <v>55</v>
      </c>
      <c r="AL5" s="1" t="s">
        <v>56</v>
      </c>
      <c r="AM5" s="1" t="s">
        <v>97</v>
      </c>
      <c r="AN5" s="29" t="s">
        <v>98</v>
      </c>
      <c r="AO5" s="29" t="s">
        <v>99</v>
      </c>
      <c r="AP5" s="29" t="s">
        <v>100</v>
      </c>
      <c r="AQ5" s="29" t="s">
        <v>101</v>
      </c>
      <c r="AR5" s="29" t="s">
        <v>102</v>
      </c>
      <c r="AS5" s="29" t="s">
        <v>103</v>
      </c>
      <c r="AT5" s="29" t="s">
        <v>104</v>
      </c>
      <c r="AU5" s="1" t="s">
        <v>105</v>
      </c>
      <c r="AV5" s="1" t="s">
        <v>106</v>
      </c>
      <c r="AW5" s="1" t="s">
        <v>266</v>
      </c>
      <c r="AX5" s="121" t="s">
        <v>394</v>
      </c>
      <c r="AY5" s="121" t="s">
        <v>395</v>
      </c>
      <c r="AZ5" s="36" t="s">
        <v>396</v>
      </c>
      <c r="BA5" s="1" t="s">
        <v>111</v>
      </c>
      <c r="BB5" s="1" t="s">
        <v>112</v>
      </c>
      <c r="BC5" s="1" t="s">
        <v>113</v>
      </c>
      <c r="BD5" s="1" t="s">
        <v>114</v>
      </c>
      <c r="BE5" s="1" t="s">
        <v>115</v>
      </c>
      <c r="BF5" s="1" t="s">
        <v>116</v>
      </c>
      <c r="BG5" s="1"/>
      <c r="BI5" s="30" t="s">
        <v>117</v>
      </c>
      <c r="BJ5" s="16"/>
      <c r="BS5" s="29" t="s">
        <v>118</v>
      </c>
      <c r="BT5" s="31" t="s">
        <v>119</v>
      </c>
      <c r="BU5" s="31" t="s">
        <v>120</v>
      </c>
      <c r="BV5" s="31" t="s">
        <v>121</v>
      </c>
      <c r="BW5" s="32" t="s">
        <v>122</v>
      </c>
      <c r="BX5" s="32" t="s">
        <v>123</v>
      </c>
      <c r="BY5" s="33" t="s">
        <v>124</v>
      </c>
      <c r="BZ5" s="33" t="s">
        <v>125</v>
      </c>
      <c r="CA5" s="31" t="s">
        <v>268</v>
      </c>
      <c r="CB5" s="92" t="s">
        <v>269</v>
      </c>
      <c r="CC5" s="31" t="s">
        <v>398</v>
      </c>
      <c r="CD5" s="33" t="s">
        <v>129</v>
      </c>
      <c r="CE5" s="33" t="s">
        <v>130</v>
      </c>
      <c r="CF5" s="33" t="s">
        <v>131</v>
      </c>
      <c r="CG5" s="33" t="s">
        <v>132</v>
      </c>
      <c r="CH5" s="33" t="s">
        <v>133</v>
      </c>
      <c r="CI5" s="33" t="s">
        <v>134</v>
      </c>
    </row>
    <row r="6" spans="2:91" ht="43.2" x14ac:dyDescent="0.3">
      <c r="P6" s="38" t="s">
        <v>163</v>
      </c>
      <c r="AF6" t="s">
        <v>135</v>
      </c>
      <c r="AG6" s="1"/>
      <c r="AH6" s="1"/>
      <c r="AI6" s="1"/>
      <c r="AJ6" s="1"/>
      <c r="AK6" s="29" t="s">
        <v>402</v>
      </c>
      <c r="AL6" s="29" t="s">
        <v>402</v>
      </c>
      <c r="AM6" s="1"/>
      <c r="AN6" s="29" t="s">
        <v>402</v>
      </c>
      <c r="AO6" s="29" t="s">
        <v>402</v>
      </c>
      <c r="AP6" s="29" t="s">
        <v>402</v>
      </c>
      <c r="AQ6" s="29"/>
      <c r="AR6" s="29"/>
      <c r="AS6" s="29"/>
      <c r="AT6" s="29"/>
      <c r="AW6" s="122" t="s">
        <v>403</v>
      </c>
      <c r="BI6">
        <v>12</v>
      </c>
      <c r="BJ6" s="16"/>
      <c r="BS6" s="29" t="s">
        <v>402</v>
      </c>
      <c r="BU6" s="29" t="s">
        <v>402</v>
      </c>
      <c r="BW6" s="29" t="s">
        <v>402</v>
      </c>
      <c r="BX6" s="29" t="s">
        <v>402</v>
      </c>
      <c r="CC6" s="29" t="s">
        <v>402</v>
      </c>
    </row>
    <row r="7" spans="2:91" s="24" customFormat="1" ht="28.8" x14ac:dyDescent="0.3">
      <c r="H7" s="28" t="s">
        <v>317</v>
      </c>
      <c r="I7" s="28" t="s">
        <v>320</v>
      </c>
      <c r="L7" s="28" t="s">
        <v>158</v>
      </c>
      <c r="M7" s="1" t="s">
        <v>240</v>
      </c>
      <c r="N7" t="s">
        <v>241</v>
      </c>
      <c r="O7" t="s">
        <v>8</v>
      </c>
      <c r="P7" s="28" t="s">
        <v>158</v>
      </c>
      <c r="Q7" t="s">
        <v>43</v>
      </c>
      <c r="R7" t="s">
        <v>164</v>
      </c>
      <c r="S7" s="15" t="s">
        <v>49</v>
      </c>
      <c r="T7" s="15"/>
      <c r="U7" s="18" t="s">
        <v>50</v>
      </c>
      <c r="V7" s="18"/>
      <c r="W7"/>
      <c r="X7" s="14"/>
      <c r="Y7" s="15" t="s">
        <v>49</v>
      </c>
      <c r="Z7" s="14"/>
      <c r="AA7" s="14"/>
      <c r="AB7" s="17"/>
      <c r="AC7" s="18" t="s">
        <v>50</v>
      </c>
      <c r="AD7" s="17"/>
      <c r="AE7" s="17"/>
      <c r="AF7" s="1" t="s">
        <v>377</v>
      </c>
      <c r="AG7" s="19" t="s">
        <v>51</v>
      </c>
      <c r="AH7" s="20" t="s">
        <v>52</v>
      </c>
      <c r="AI7" s="19" t="s">
        <v>53</v>
      </c>
      <c r="AJ7" s="19" t="s">
        <v>54</v>
      </c>
      <c r="AK7" s="35" t="s">
        <v>55</v>
      </c>
      <c r="AL7" s="35" t="s">
        <v>56</v>
      </c>
      <c r="AM7" s="20" t="s">
        <v>57</v>
      </c>
      <c r="AN7" s="35" t="s">
        <v>58</v>
      </c>
      <c r="AO7" s="20" t="s">
        <v>59</v>
      </c>
      <c r="AP7" s="35" t="s">
        <v>60</v>
      </c>
      <c r="AQ7" s="19" t="s">
        <v>61</v>
      </c>
      <c r="AR7" t="s">
        <v>143</v>
      </c>
      <c r="AS7" s="19" t="s">
        <v>62</v>
      </c>
      <c r="AT7" t="s">
        <v>143</v>
      </c>
      <c r="AU7" s="34" t="s">
        <v>105</v>
      </c>
      <c r="AV7" s="34" t="s">
        <v>106</v>
      </c>
      <c r="AW7" s="19" t="s">
        <v>266</v>
      </c>
      <c r="AX7" s="121" t="s">
        <v>394</v>
      </c>
      <c r="AY7" s="121" t="s">
        <v>395</v>
      </c>
      <c r="AZ7" s="36" t="s">
        <v>396</v>
      </c>
      <c r="BA7" s="1"/>
      <c r="BB7" s="1"/>
      <c r="BC7" s="1"/>
      <c r="BD7" s="1"/>
      <c r="BE7" s="1"/>
      <c r="BF7" s="1"/>
      <c r="BG7"/>
      <c r="BH7" s="1"/>
      <c r="BI7" s="1"/>
      <c r="BJ7" s="21"/>
      <c r="BK7" s="19" t="s">
        <v>63</v>
      </c>
      <c r="BL7" s="19" t="s">
        <v>64</v>
      </c>
      <c r="BM7" s="36" t="s">
        <v>65</v>
      </c>
      <c r="BN7" s="22" t="s">
        <v>66</v>
      </c>
      <c r="BO7" s="19" t="s">
        <v>67</v>
      </c>
      <c r="BP7" s="36" t="s">
        <v>68</v>
      </c>
      <c r="BQ7" s="19" t="s">
        <v>69</v>
      </c>
      <c r="BR7" s="19" t="s">
        <v>70</v>
      </c>
      <c r="BS7" s="19" t="s">
        <v>71</v>
      </c>
      <c r="BT7" s="31" t="s">
        <v>119</v>
      </c>
      <c r="BU7" s="31" t="s">
        <v>120</v>
      </c>
      <c r="BV7" s="31" t="s">
        <v>121</v>
      </c>
      <c r="BW7" s="32" t="s">
        <v>122</v>
      </c>
      <c r="BX7" s="32" t="s">
        <v>123</v>
      </c>
      <c r="BY7" s="31" t="s">
        <v>258</v>
      </c>
      <c r="BZ7" s="31" t="s">
        <v>267</v>
      </c>
      <c r="CA7" s="31" t="s">
        <v>268</v>
      </c>
      <c r="CB7" s="92" t="s">
        <v>269</v>
      </c>
      <c r="CC7" s="31" t="s">
        <v>398</v>
      </c>
      <c r="CD7" s="33" t="s">
        <v>129</v>
      </c>
      <c r="CE7" s="33" t="s">
        <v>130</v>
      </c>
      <c r="CF7" s="33" t="s">
        <v>131</v>
      </c>
      <c r="CG7" s="33" t="s">
        <v>132</v>
      </c>
      <c r="CH7" s="33" t="s">
        <v>133</v>
      </c>
      <c r="CI7" s="33" t="s">
        <v>134</v>
      </c>
      <c r="CJ7"/>
      <c r="CK7"/>
      <c r="CL7"/>
      <c r="CM7"/>
    </row>
    <row r="8" spans="2:91" ht="31.2" x14ac:dyDescent="0.5">
      <c r="E8" s="94" t="s">
        <v>282</v>
      </c>
      <c r="F8" s="73"/>
      <c r="G8" s="73"/>
      <c r="H8" s="73"/>
      <c r="X8" s="28" t="s">
        <v>158</v>
      </c>
      <c r="Y8" s="28" t="s">
        <v>147</v>
      </c>
      <c r="Z8" s="28" t="s">
        <v>156</v>
      </c>
      <c r="AA8" s="28" t="s">
        <v>157</v>
      </c>
      <c r="AB8" s="28" t="s">
        <v>158</v>
      </c>
      <c r="AC8" s="28" t="s">
        <v>147</v>
      </c>
      <c r="AD8" s="28" t="s">
        <v>156</v>
      </c>
      <c r="AE8" s="28" t="s">
        <v>157</v>
      </c>
      <c r="AF8" s="1" t="s">
        <v>187</v>
      </c>
      <c r="AG8" t="s">
        <v>188</v>
      </c>
      <c r="AH8" t="s">
        <v>189</v>
      </c>
      <c r="AI8" t="s">
        <v>190</v>
      </c>
      <c r="AJ8" t="s">
        <v>191</v>
      </c>
      <c r="AK8" t="s">
        <v>192</v>
      </c>
      <c r="AL8" t="s">
        <v>193</v>
      </c>
      <c r="AM8" t="s">
        <v>194</v>
      </c>
      <c r="AN8" t="s">
        <v>194</v>
      </c>
      <c r="AO8" t="s">
        <v>195</v>
      </c>
      <c r="AP8" t="s">
        <v>196</v>
      </c>
      <c r="AQ8" t="s">
        <v>197</v>
      </c>
      <c r="AR8" t="s">
        <v>198</v>
      </c>
      <c r="AS8" t="s">
        <v>199</v>
      </c>
      <c r="AT8" t="s">
        <v>200</v>
      </c>
      <c r="AW8" t="s">
        <v>378</v>
      </c>
      <c r="AZ8" t="s">
        <v>405</v>
      </c>
      <c r="BK8" t="s">
        <v>202</v>
      </c>
      <c r="BL8" t="s">
        <v>198</v>
      </c>
      <c r="BM8" t="s">
        <v>203</v>
      </c>
      <c r="BN8" t="s">
        <v>204</v>
      </c>
      <c r="BO8" t="s">
        <v>205</v>
      </c>
      <c r="BP8" t="s">
        <v>206</v>
      </c>
      <c r="BQ8" t="s">
        <v>207</v>
      </c>
      <c r="BR8" t="s">
        <v>208</v>
      </c>
      <c r="BS8" t="s">
        <v>209</v>
      </c>
      <c r="BT8" t="s">
        <v>210</v>
      </c>
      <c r="BU8" t="s">
        <v>379</v>
      </c>
      <c r="BV8" t="s">
        <v>203</v>
      </c>
      <c r="BW8" t="s">
        <v>213</v>
      </c>
      <c r="BX8" t="s">
        <v>211</v>
      </c>
      <c r="BY8" t="s">
        <v>380</v>
      </c>
      <c r="BZ8" t="s">
        <v>381</v>
      </c>
      <c r="CA8" t="s">
        <v>382</v>
      </c>
      <c r="CB8" t="s">
        <v>383</v>
      </c>
      <c r="CC8" t="s">
        <v>406</v>
      </c>
    </row>
    <row r="9" spans="2:91" ht="23.4" x14ac:dyDescent="0.45">
      <c r="B9" t="s">
        <v>316</v>
      </c>
      <c r="C9" s="7">
        <f>B2</f>
        <v>45021</v>
      </c>
      <c r="E9" s="94" t="s">
        <v>315</v>
      </c>
      <c r="X9" t="str">
        <f>CONCATENATE(TRUNC(Y9,2), ",  (", TRUNC(Z9,2), " , ", TRUNC(AA9,2), "), ", S9)</f>
        <v xml:space="preserve">11.7,  (10.58 , 14.2), </v>
      </c>
      <c r="Y9">
        <f>MEDIAN(AG9:BF9)</f>
        <v>11.708333333333332</v>
      </c>
      <c r="Z9">
        <f>_xlfn.PERCENTILE.INC(AG9:BF9, 0.25)</f>
        <v>10.583333333333334</v>
      </c>
      <c r="AA9">
        <f>_xlfn.PERCENTILE.INC(AG9:BF9, 0.75)</f>
        <v>14.208333333333334</v>
      </c>
      <c r="AB9" t="str">
        <f>CONCATENATE(TRUNC(AC9,2), ",  (", TRUNC(AD9,2), " , ", TRUNC(AE9,2), "), ", U9)</f>
        <v xml:space="preserve">10.58,  (8.2 , 12.12), </v>
      </c>
      <c r="AC9">
        <f>MEDIAN(BK9:CI9)</f>
        <v>10.583333333333334</v>
      </c>
      <c r="AD9">
        <f>_xlfn.PERCENTILE.INC(BK9:CI9, 0.25)</f>
        <v>8.2083333333333321</v>
      </c>
      <c r="AE9">
        <f>_xlfn.PERCENTILE.INC(BK9:CI9, 0.75)</f>
        <v>12.125</v>
      </c>
      <c r="AF9" s="1" t="s">
        <v>201</v>
      </c>
      <c r="AG9">
        <f>AG10/12</f>
        <v>12.5</v>
      </c>
      <c r="AH9" t="s">
        <v>162</v>
      </c>
      <c r="AI9">
        <f>AI10/12</f>
        <v>10.5</v>
      </c>
      <c r="AJ9">
        <f>AJ10/12</f>
        <v>10.916666666666666</v>
      </c>
      <c r="AK9">
        <f>AK10/12</f>
        <v>14.833333333333334</v>
      </c>
      <c r="AL9">
        <f>AL10/12</f>
        <v>9.8333333333333339</v>
      </c>
      <c r="AM9" t="s">
        <v>162</v>
      </c>
      <c r="AN9">
        <v>18</v>
      </c>
      <c r="AO9" t="s">
        <v>162</v>
      </c>
      <c r="AP9" t="s">
        <v>162</v>
      </c>
      <c r="AQ9">
        <f>AQ10/12</f>
        <v>10.833333333333334</v>
      </c>
      <c r="AR9" s="27" t="s">
        <v>162</v>
      </c>
      <c r="AS9">
        <f>AS10/12</f>
        <v>14.75</v>
      </c>
      <c r="AT9" s="27" t="s">
        <v>162</v>
      </c>
      <c r="AU9" s="27" t="s">
        <v>162</v>
      </c>
      <c r="AV9" s="27" t="s">
        <v>162</v>
      </c>
      <c r="AW9">
        <f>AW10/12</f>
        <v>12.583333333333334</v>
      </c>
      <c r="AX9" s="27" t="s">
        <v>162</v>
      </c>
      <c r="AY9" s="27" t="s">
        <v>162</v>
      </c>
      <c r="AZ9">
        <f>AZ10/12</f>
        <v>9.5833333333333339</v>
      </c>
      <c r="BK9" s="89">
        <f t="shared" ref="BK9:CC9" si="0">BK10/12</f>
        <v>10.583333333333334</v>
      </c>
      <c r="BL9" s="89">
        <f t="shared" si="0"/>
        <v>7.083333333333333</v>
      </c>
      <c r="BM9" s="89">
        <f t="shared" si="0"/>
        <v>7.333333333333333</v>
      </c>
      <c r="BN9" s="89">
        <f t="shared" si="0"/>
        <v>7.75</v>
      </c>
      <c r="BO9" s="89">
        <f t="shared" si="0"/>
        <v>11.166666666666666</v>
      </c>
      <c r="BP9" s="89">
        <f t="shared" si="0"/>
        <v>9.25</v>
      </c>
      <c r="BQ9" s="89">
        <f t="shared" si="0"/>
        <v>9.5</v>
      </c>
      <c r="BR9" s="89">
        <f t="shared" si="0"/>
        <v>6.75</v>
      </c>
      <c r="BS9" s="89">
        <f t="shared" si="0"/>
        <v>13.416666666666666</v>
      </c>
      <c r="BT9" s="89">
        <f t="shared" si="0"/>
        <v>8.6666666666666661</v>
      </c>
      <c r="BU9" s="89">
        <f t="shared" si="0"/>
        <v>11.833333333333334</v>
      </c>
      <c r="BV9" s="89">
        <f t="shared" si="0"/>
        <v>7.333333333333333</v>
      </c>
      <c r="BW9" s="89">
        <f t="shared" si="0"/>
        <v>15</v>
      </c>
      <c r="BX9" s="89">
        <f t="shared" si="0"/>
        <v>11.833333333333334</v>
      </c>
      <c r="BY9" s="89">
        <f t="shared" si="0"/>
        <v>11.916666666666666</v>
      </c>
      <c r="BZ9" s="89">
        <f t="shared" si="0"/>
        <v>15.75</v>
      </c>
      <c r="CA9" s="89">
        <f t="shared" si="0"/>
        <v>12.333333333333334</v>
      </c>
      <c r="CB9" s="89">
        <f t="shared" si="0"/>
        <v>9.0833333333333339</v>
      </c>
      <c r="CC9" s="89">
        <f t="shared" si="0"/>
        <v>18.166666666666668</v>
      </c>
    </row>
    <row r="10" spans="2:91" ht="23.4" x14ac:dyDescent="0.45">
      <c r="C10" s="7"/>
      <c r="E10" s="94"/>
      <c r="AF10" s="1" t="s">
        <v>72</v>
      </c>
      <c r="AG10">
        <v>150</v>
      </c>
      <c r="AH10" t="s">
        <v>162</v>
      </c>
      <c r="AI10">
        <v>126</v>
      </c>
      <c r="AJ10">
        <v>131</v>
      </c>
      <c r="AK10">
        <v>178</v>
      </c>
      <c r="AL10">
        <v>118</v>
      </c>
      <c r="AM10" t="s">
        <v>162</v>
      </c>
      <c r="AN10">
        <v>224</v>
      </c>
      <c r="AO10" t="s">
        <v>162</v>
      </c>
      <c r="AP10" t="s">
        <v>162</v>
      </c>
      <c r="AQ10">
        <v>130</v>
      </c>
      <c r="AR10" s="27" t="s">
        <v>162</v>
      </c>
      <c r="AS10">
        <v>177</v>
      </c>
      <c r="AT10" s="27" t="s">
        <v>162</v>
      </c>
      <c r="AU10" s="27" t="s">
        <v>162</v>
      </c>
      <c r="AV10" s="27" t="s">
        <v>162</v>
      </c>
      <c r="AW10">
        <v>151</v>
      </c>
      <c r="AX10" s="27" t="s">
        <v>162</v>
      </c>
      <c r="AY10" s="27" t="s">
        <v>162</v>
      </c>
      <c r="AZ10">
        <v>115</v>
      </c>
      <c r="BK10">
        <v>127</v>
      </c>
      <c r="BL10">
        <v>85</v>
      </c>
      <c r="BM10">
        <v>88</v>
      </c>
      <c r="BN10">
        <v>93</v>
      </c>
      <c r="BO10">
        <v>134</v>
      </c>
      <c r="BP10">
        <v>111</v>
      </c>
      <c r="BQ10" s="27">
        <v>114</v>
      </c>
      <c r="BR10" s="1">
        <v>81</v>
      </c>
      <c r="BS10">
        <v>161</v>
      </c>
      <c r="BT10">
        <v>104</v>
      </c>
      <c r="BU10">
        <v>142</v>
      </c>
      <c r="BV10">
        <v>88</v>
      </c>
      <c r="BW10">
        <v>180</v>
      </c>
      <c r="BX10">
        <v>142</v>
      </c>
      <c r="BY10">
        <v>143</v>
      </c>
      <c r="BZ10">
        <v>189</v>
      </c>
      <c r="CA10">
        <v>148</v>
      </c>
      <c r="CB10">
        <v>109</v>
      </c>
      <c r="CC10">
        <v>218</v>
      </c>
    </row>
    <row r="11" spans="2:91" x14ac:dyDescent="0.3">
      <c r="S11" s="38" t="s">
        <v>218</v>
      </c>
      <c r="T11" s="38"/>
      <c r="U11" s="38"/>
      <c r="V11" s="38"/>
      <c r="W11" s="38"/>
      <c r="X11" s="28"/>
      <c r="Y11" s="28"/>
      <c r="Z11" s="28"/>
      <c r="AA11" s="28"/>
      <c r="AB11" s="28"/>
      <c r="AC11" s="28"/>
      <c r="AD11" s="28"/>
      <c r="AE11" s="28"/>
      <c r="AG11" s="28" t="s">
        <v>178</v>
      </c>
      <c r="AH11" t="s">
        <v>215</v>
      </c>
      <c r="BK11" s="28" t="s">
        <v>178</v>
      </c>
      <c r="BL11" t="s">
        <v>215</v>
      </c>
    </row>
    <row r="12" spans="2:91" ht="23.4" x14ac:dyDescent="0.45">
      <c r="B12" t="s">
        <v>355</v>
      </c>
      <c r="D12" s="94" t="s">
        <v>315</v>
      </c>
      <c r="S12" t="s">
        <v>219</v>
      </c>
      <c r="X12" t="s">
        <v>220</v>
      </c>
      <c r="AG12" t="s">
        <v>177</v>
      </c>
      <c r="AH12" t="s">
        <v>400</v>
      </c>
      <c r="AK12" t="s">
        <v>401</v>
      </c>
      <c r="BK12" t="s">
        <v>177</v>
      </c>
      <c r="BL12" t="s">
        <v>400</v>
      </c>
      <c r="BO12" t="s">
        <v>401</v>
      </c>
    </row>
    <row r="13" spans="2:91" x14ac:dyDescent="0.3">
      <c r="R13" s="28" t="s">
        <v>178</v>
      </c>
      <c r="S13" t="s">
        <v>215</v>
      </c>
      <c r="X13" t="s">
        <v>220</v>
      </c>
    </row>
    <row r="14" spans="2:91" ht="15" thickBot="1" x14ac:dyDescent="0.35">
      <c r="S14" t="s">
        <v>259</v>
      </c>
      <c r="T14" t="s">
        <v>260</v>
      </c>
      <c r="U14" t="s">
        <v>259</v>
      </c>
      <c r="V14" t="s">
        <v>260</v>
      </c>
      <c r="W14" s="28"/>
      <c r="AF14" s="49" t="s">
        <v>74</v>
      </c>
      <c r="BJ14" s="49" t="s">
        <v>74</v>
      </c>
    </row>
    <row r="15" spans="2:91" x14ac:dyDescent="0.3">
      <c r="B15" s="75"/>
      <c r="C15" s="181" t="s">
        <v>310</v>
      </c>
      <c r="D15" s="182"/>
      <c r="E15" s="173" t="s">
        <v>41</v>
      </c>
      <c r="F15" s="174"/>
      <c r="AF15" s="50" t="s">
        <v>38</v>
      </c>
      <c r="BJ15" s="50" t="s">
        <v>38</v>
      </c>
    </row>
    <row r="16" spans="2:91" x14ac:dyDescent="0.3">
      <c r="B16" s="84"/>
      <c r="C16" s="8" t="s">
        <v>375</v>
      </c>
      <c r="D16" s="110" t="s">
        <v>308</v>
      </c>
      <c r="E16" s="8" t="s">
        <v>375</v>
      </c>
      <c r="F16" s="91" t="s">
        <v>308</v>
      </c>
      <c r="O16" t="s">
        <v>261</v>
      </c>
      <c r="P16" t="s">
        <v>217</v>
      </c>
      <c r="Q16">
        <f>_xlfn.T.TEST(AG16:BF16,BK16:CI16,2,2)</f>
        <v>5.3387304117533348E-2</v>
      </c>
      <c r="R16" t="s">
        <v>171</v>
      </c>
      <c r="S16" s="39"/>
      <c r="T16" s="39"/>
      <c r="U16" s="39"/>
      <c r="V16" s="39"/>
      <c r="W16" s="68"/>
      <c r="X16" t="str">
        <f>CONCATENATE(TRUNC(Y16,2), ",  (", TRUNC(Z16,2), " , ", TRUNC(AA16,2), "), ", S16)</f>
        <v xml:space="preserve">2.12,  (1.46 , 2.67), </v>
      </c>
      <c r="Y16">
        <f>MEDIAN(AG16:BF16)</f>
        <v>2.1215017210032299</v>
      </c>
      <c r="Z16">
        <f>_xlfn.PERCENTILE.INC(AG16:BF16, 0.25)</f>
        <v>1.4686184359230401</v>
      </c>
      <c r="AA16">
        <f>_xlfn.PERCENTILE.INC(AG16:BF16, 0.75)</f>
        <v>2.6795098282827001</v>
      </c>
      <c r="AB16" t="str">
        <f>CONCATENATE(TRUNC(AC16,2), ",  (", TRUNC(AD16,2), " , ", TRUNC(AE16,2), "), ", U16)</f>
        <v xml:space="preserve">3.49,  (2.44 , 4.25), </v>
      </c>
      <c r="AC16">
        <f>MEDIAN(BK16:CI16)</f>
        <v>3.4916171583665299</v>
      </c>
      <c r="AD16">
        <f>_xlfn.PERCENTILE.INC(BK16:CI16, 0.25)</f>
        <v>2.4467902497762397</v>
      </c>
      <c r="AE16">
        <f>_xlfn.PERCENTILE.INC(BK16:CI16, 0.75)</f>
        <v>4.2569056602261099</v>
      </c>
      <c r="AF16" s="48" t="s">
        <v>39</v>
      </c>
      <c r="AG16" s="115">
        <v>2.8195488086367302</v>
      </c>
      <c r="AH16" s="59" t="s">
        <v>162</v>
      </c>
      <c r="AI16" s="58">
        <v>1.0353460761712401</v>
      </c>
      <c r="AJ16" s="115">
        <v>1.2682005701616701</v>
      </c>
      <c r="AK16" s="58">
        <v>1.4686184359230401</v>
      </c>
      <c r="AL16" s="59" t="s">
        <v>162</v>
      </c>
      <c r="AM16" s="58" t="s">
        <v>162</v>
      </c>
      <c r="AN16" s="118">
        <v>3.8057337647892302</v>
      </c>
      <c r="AO16" s="61" t="s">
        <v>162</v>
      </c>
      <c r="AP16" s="61" t="s">
        <v>162</v>
      </c>
      <c r="AQ16" s="118">
        <v>2.6795098282827001</v>
      </c>
      <c r="AR16" s="58" t="s">
        <v>162</v>
      </c>
      <c r="AS16" s="116">
        <v>1.6176853996633</v>
      </c>
      <c r="AT16" s="58" t="s">
        <v>162</v>
      </c>
      <c r="AU16" s="58" t="s">
        <v>162</v>
      </c>
      <c r="AV16" s="58" t="s">
        <v>162</v>
      </c>
      <c r="AW16" s="116">
        <v>2.1215017210032299</v>
      </c>
      <c r="AX16" s="58" t="s">
        <v>162</v>
      </c>
      <c r="AY16" s="58" t="s">
        <v>162</v>
      </c>
      <c r="AZ16" s="116">
        <v>2.4873505125023598</v>
      </c>
      <c r="BJ16" s="48" t="s">
        <v>39</v>
      </c>
      <c r="BK16" s="116">
        <v>5.1297123146644399</v>
      </c>
      <c r="BL16" s="116">
        <v>4.4192218068685998</v>
      </c>
      <c r="BM16" s="116">
        <v>3.6718641321435501</v>
      </c>
      <c r="BN16" s="59" t="s">
        <v>162</v>
      </c>
      <c r="BO16" s="58">
        <v>4.0945895135836201</v>
      </c>
      <c r="BP16" s="59" t="s">
        <v>162</v>
      </c>
      <c r="BQ16" s="58">
        <v>3.2054336749115202</v>
      </c>
      <c r="BR16" s="58">
        <v>3.0185355998543599</v>
      </c>
      <c r="BS16" s="116">
        <v>5.3625568256932699</v>
      </c>
      <c r="BT16" s="58">
        <v>4.4483988255018403</v>
      </c>
      <c r="BU16" s="58">
        <v>1.88771703054219</v>
      </c>
      <c r="BV16" s="58">
        <v>3.4916171583665299</v>
      </c>
      <c r="BW16" s="117">
        <v>0.76755829073625303</v>
      </c>
      <c r="BX16" s="59" t="s">
        <v>162</v>
      </c>
      <c r="BY16" s="116">
        <v>3.6280002060613099</v>
      </c>
      <c r="BZ16" s="118">
        <v>0.73074071147375796</v>
      </c>
      <c r="CA16" s="116">
        <v>3.0058634690102899</v>
      </c>
      <c r="CB16" t="s">
        <v>162</v>
      </c>
      <c r="CC16" s="116">
        <v>1.65598435061114</v>
      </c>
    </row>
    <row r="17" spans="2:81" ht="15" customHeight="1" x14ac:dyDescent="0.3">
      <c r="B17" s="76" t="s">
        <v>3</v>
      </c>
      <c r="C17" s="102" t="s">
        <v>407</v>
      </c>
      <c r="D17" s="111" t="s">
        <v>408</v>
      </c>
      <c r="E17" s="108" t="s">
        <v>429</v>
      </c>
      <c r="F17" s="103" t="s">
        <v>430</v>
      </c>
      <c r="H17" s="99">
        <v>45021</v>
      </c>
      <c r="I17" t="s">
        <v>443</v>
      </c>
      <c r="P17" t="s">
        <v>173</v>
      </c>
      <c r="Q17">
        <f>_xlfn.T.TEST(AG17:BF17,BK17:CI17,2,2)</f>
        <v>0.5207724927058508</v>
      </c>
      <c r="R17" t="s">
        <v>171</v>
      </c>
      <c r="S17" s="39"/>
      <c r="T17" s="39"/>
      <c r="U17" s="39"/>
      <c r="V17" s="39"/>
      <c r="W17" s="68"/>
      <c r="X17" t="str">
        <f t="shared" ref="X17:X22" si="1">CONCATENATE(TRUNC(Y17,2), ",  (", TRUNC(Z17,2), " , ", TRUNC(AA17,2), "), ", S17)</f>
        <v xml:space="preserve">1.83,  (1.37 , 2.04), </v>
      </c>
      <c r="Y17">
        <f>MEDIAN(AG17:BF17)</f>
        <v>1.83544884571052</v>
      </c>
      <c r="Z17">
        <f>_xlfn.PERCENTILE.INC(AG17:BF17, 0.25)</f>
        <v>1.3774451289752625</v>
      </c>
      <c r="AA17">
        <f>_xlfn.PERCENTILE.INC(AG17:BF17, 0.75)</f>
        <v>2.0418857486299848</v>
      </c>
      <c r="AB17" t="str">
        <f t="shared" ref="AB17:AB22" si="2">CONCATENATE(TRUNC(AC17,2), ",  (", TRUNC(AD17,2), " , ", TRUNC(AE17,2), "), ", U17)</f>
        <v xml:space="preserve">2.23,  (1.19 , 2.82), </v>
      </c>
      <c r="AC17">
        <f>MEDIAN(BK17:CI17)</f>
        <v>2.2360982545295549</v>
      </c>
      <c r="AD17">
        <f>_xlfn.PERCENTILE.INC(BK17:CI17, 0.25)</f>
        <v>1.199102093745041</v>
      </c>
      <c r="AE17">
        <f>_xlfn.PERCENTILE.INC(BK17:CI17, 0.75)</f>
        <v>2.8206099028200025</v>
      </c>
      <c r="AF17" s="48" t="s">
        <v>40</v>
      </c>
      <c r="AG17" s="58">
        <v>1.92065960521003</v>
      </c>
      <c r="AH17" s="59" t="s">
        <v>162</v>
      </c>
      <c r="AI17" s="58">
        <v>1.85086824941409</v>
      </c>
      <c r="AJ17" s="58">
        <v>1.37572067569113</v>
      </c>
      <c r="AK17" s="59" t="s">
        <v>162</v>
      </c>
      <c r="AL17" s="59" t="s">
        <v>162</v>
      </c>
      <c r="AM17" s="58" t="s">
        <v>162</v>
      </c>
      <c r="AN17" s="118">
        <v>1.82002944200695</v>
      </c>
      <c r="AO17" s="61" t="s">
        <v>162</v>
      </c>
      <c r="AP17" s="61" t="s">
        <v>162</v>
      </c>
      <c r="AQ17" s="118">
        <v>2.5623985222914101</v>
      </c>
      <c r="AR17" s="58" t="s">
        <v>162</v>
      </c>
      <c r="AS17" s="116">
        <v>1.3780199467366401</v>
      </c>
      <c r="AT17" s="58" t="s">
        <v>162</v>
      </c>
      <c r="AU17" s="58" t="s">
        <v>162</v>
      </c>
      <c r="AV17" s="58" t="s">
        <v>162</v>
      </c>
      <c r="AW17" s="116">
        <v>0.96979518498437101</v>
      </c>
      <c r="AX17" s="58" t="s">
        <v>162</v>
      </c>
      <c r="AY17" s="58" t="s">
        <v>162</v>
      </c>
      <c r="AZ17" s="116">
        <v>2.4055641788898501</v>
      </c>
      <c r="BJ17" s="48" t="s">
        <v>40</v>
      </c>
      <c r="BK17" s="116">
        <v>3.91432551509758</v>
      </c>
      <c r="BL17" s="116">
        <v>2.7326792152584201</v>
      </c>
      <c r="BM17" s="116">
        <v>3.2540952669888901</v>
      </c>
      <c r="BN17" s="62" t="s">
        <v>162</v>
      </c>
      <c r="BO17" s="58">
        <v>2.2407940760098302</v>
      </c>
      <c r="BP17" s="116">
        <v>1.4673970641015099</v>
      </c>
      <c r="BQ17" s="58">
        <v>2.7796820045573698</v>
      </c>
      <c r="BR17" s="58">
        <v>1.8226959602389401</v>
      </c>
      <c r="BS17" s="116">
        <v>0.80858041220497401</v>
      </c>
      <c r="BT17" s="58">
        <v>2.7424048162087602</v>
      </c>
      <c r="BU17" s="58">
        <v>1.3292759875917299</v>
      </c>
      <c r="BV17" s="58">
        <v>2.9433935976079</v>
      </c>
      <c r="BW17" s="59" t="s">
        <v>162</v>
      </c>
      <c r="BX17" s="58">
        <v>0.57791323864861399</v>
      </c>
      <c r="BY17" s="116">
        <v>3.2902077967872501</v>
      </c>
      <c r="BZ17" s="116">
        <v>0.53421048616304501</v>
      </c>
      <c r="CA17" s="116">
        <v>2.2314024330492801</v>
      </c>
      <c r="CB17" t="s">
        <v>162</v>
      </c>
      <c r="CC17" s="116">
        <v>0.29497136107145</v>
      </c>
    </row>
    <row r="18" spans="2:81" ht="15" customHeight="1" thickBot="1" x14ac:dyDescent="0.35">
      <c r="B18" s="51" t="s">
        <v>292</v>
      </c>
      <c r="C18" s="104" t="s">
        <v>433</v>
      </c>
      <c r="D18" s="112" t="s">
        <v>434</v>
      </c>
      <c r="E18" s="109" t="s">
        <v>437</v>
      </c>
      <c r="F18" s="105" t="s">
        <v>438</v>
      </c>
      <c r="H18" s="99">
        <v>45021</v>
      </c>
      <c r="I18" t="s">
        <v>444</v>
      </c>
      <c r="AF18" s="50" t="s">
        <v>41</v>
      </c>
      <c r="BJ18" s="50" t="s">
        <v>41</v>
      </c>
    </row>
    <row r="19" spans="2:81" x14ac:dyDescent="0.3">
      <c r="C19" s="58"/>
      <c r="D19" s="58"/>
      <c r="E19" s="58"/>
      <c r="F19" s="58"/>
      <c r="AF19" s="50"/>
      <c r="BJ19" s="50"/>
    </row>
    <row r="20" spans="2:81" x14ac:dyDescent="0.3">
      <c r="C20" s="58"/>
      <c r="D20" s="58"/>
      <c r="E20" s="58"/>
      <c r="F20" s="58"/>
      <c r="AF20" s="50"/>
      <c r="BJ20" s="50"/>
    </row>
    <row r="21" spans="2:81" x14ac:dyDescent="0.3">
      <c r="C21" s="58"/>
      <c r="D21" s="58"/>
      <c r="E21" s="58"/>
      <c r="F21" s="58"/>
      <c r="I21" s="1"/>
      <c r="J21" s="1"/>
      <c r="P21" t="s">
        <v>173</v>
      </c>
      <c r="Q21">
        <f>_xlfn.T.TEST(AG21:BF21,BK21:CI21,2,2)</f>
        <v>0.67280420988873368</v>
      </c>
      <c r="R21" t="s">
        <v>171</v>
      </c>
      <c r="S21" s="39"/>
      <c r="T21" s="39"/>
      <c r="U21" s="39"/>
      <c r="V21" s="39"/>
      <c r="W21" s="68"/>
      <c r="X21" t="str">
        <f>CONCATENATE(TRUNC(Y21,2), ",  (", TRUNC(Z21,2), " , ", TRUNC(AA21,2), "), ", S21)</f>
        <v xml:space="preserve">1.81,  (1.49 , 2.17), </v>
      </c>
      <c r="Y21">
        <f>MEDIAN(AG21:BF21)</f>
        <v>1.81213566339176</v>
      </c>
      <c r="Z21">
        <f>_xlfn.PERCENTILE.INC(AG21:BF21, 0.25)</f>
        <v>1.4972449398191223</v>
      </c>
      <c r="AA21">
        <f>_xlfn.PERCENTILE.INC(AG21:BF21, 0.75)</f>
        <v>2.17978559155274</v>
      </c>
      <c r="AB21" t="str">
        <f t="shared" si="2"/>
        <v xml:space="preserve">1.68,  (1.06 , 2.56), </v>
      </c>
      <c r="AC21">
        <f>MEDIAN(BK21:CI21)</f>
        <v>1.6844393104324951</v>
      </c>
      <c r="AD21">
        <f>_xlfn.PERCENTILE.INC(BK21:CI21, 0.25)</f>
        <v>1.0698404995622688</v>
      </c>
      <c r="AE21">
        <f>_xlfn.PERCENTILE.INC(BK21:CI21, 0.75)</f>
        <v>2.5656162813533623</v>
      </c>
      <c r="AF21" s="48" t="s">
        <v>39</v>
      </c>
      <c r="AG21" t="s">
        <v>162</v>
      </c>
      <c r="AH21" t="s">
        <v>162</v>
      </c>
      <c r="AI21" t="s">
        <v>162</v>
      </c>
      <c r="AJ21" t="s">
        <v>162</v>
      </c>
      <c r="AK21" s="59" t="s">
        <v>162</v>
      </c>
      <c r="AL21" s="58">
        <v>1.4161592237265099</v>
      </c>
      <c r="AM21" s="58" t="s">
        <v>162</v>
      </c>
      <c r="AN21" s="118">
        <v>1.7405020880969599</v>
      </c>
      <c r="AO21" s="59" t="s">
        <v>162</v>
      </c>
      <c r="AP21" s="59" t="s">
        <v>162</v>
      </c>
      <c r="AQ21" s="118">
        <v>1.40354475865929</v>
      </c>
      <c r="AR21" s="58" t="s">
        <v>162</v>
      </c>
      <c r="AS21" s="58">
        <v>1.8837692386865601</v>
      </c>
      <c r="AT21" s="58" t="s">
        <v>162</v>
      </c>
      <c r="AU21" s="58" t="s">
        <v>162</v>
      </c>
      <c r="AV21" s="58" t="s">
        <v>162</v>
      </c>
      <c r="AW21" s="116">
        <v>2.2784577091748002</v>
      </c>
      <c r="AX21" s="58" t="s">
        <v>162</v>
      </c>
      <c r="AY21" s="58" t="s">
        <v>162</v>
      </c>
      <c r="AZ21" s="116">
        <v>3.7921899287678702</v>
      </c>
      <c r="BJ21" s="48" t="s">
        <v>39</v>
      </c>
      <c r="BK21" t="s">
        <v>162</v>
      </c>
      <c r="BL21" t="s">
        <v>162</v>
      </c>
      <c r="BM21" t="s">
        <v>162</v>
      </c>
      <c r="BN21" t="s">
        <v>162</v>
      </c>
      <c r="BO21" t="s">
        <v>162</v>
      </c>
      <c r="BP21" t="s">
        <v>162</v>
      </c>
      <c r="BQ21" t="s">
        <v>162</v>
      </c>
      <c r="BR21" t="s">
        <v>162</v>
      </c>
      <c r="BS21" s="58">
        <v>0.89316309394488103</v>
      </c>
      <c r="BT21" s="116">
        <v>2.72033210885757</v>
      </c>
      <c r="BU21" s="58">
        <v>2.51404433885196</v>
      </c>
      <c r="BV21" s="58">
        <v>3.4387836114208898</v>
      </c>
      <c r="BW21" s="59" t="s">
        <v>162</v>
      </c>
      <c r="BX21" s="58">
        <v>0.90489098867090501</v>
      </c>
      <c r="BY21" s="59" t="s">
        <v>162</v>
      </c>
      <c r="BZ21" s="116">
        <v>1.1248236698593901</v>
      </c>
      <c r="CA21" s="116">
        <v>1.55389702055308</v>
      </c>
      <c r="CB21" t="s">
        <v>162</v>
      </c>
      <c r="CC21" s="116">
        <v>1.8149816003119099</v>
      </c>
    </row>
    <row r="22" spans="2:81" x14ac:dyDescent="0.3">
      <c r="B22" t="s">
        <v>354</v>
      </c>
      <c r="C22" s="58"/>
      <c r="D22" s="125" t="s">
        <v>283</v>
      </c>
      <c r="E22" s="58"/>
      <c r="F22" s="58"/>
      <c r="P22" t="s">
        <v>173</v>
      </c>
      <c r="Q22">
        <f>_xlfn.T.TEST(AG22:BF22,BK22:CI22,2,2)</f>
        <v>2.1392268081473195E-2</v>
      </c>
      <c r="R22" t="s">
        <v>171</v>
      </c>
      <c r="S22" s="39"/>
      <c r="T22" s="39"/>
      <c r="U22" s="39"/>
      <c r="V22" s="39"/>
      <c r="W22" s="68"/>
      <c r="X22" t="str">
        <f t="shared" si="1"/>
        <v xml:space="preserve">2.19,  (2.03 , 2.97), </v>
      </c>
      <c r="Y22">
        <f>MEDIAN(AG22:BF22)</f>
        <v>2.19564463555766</v>
      </c>
      <c r="Z22">
        <f>_xlfn.PERCENTILE.INC(AG22:BF22, 0.25)</f>
        <v>2.03522409276863</v>
      </c>
      <c r="AA22">
        <f>_xlfn.PERCENTILE.INC(AG22:BF22, 0.75)</f>
        <v>2.9742236637874848</v>
      </c>
      <c r="AB22" t="str">
        <f t="shared" si="2"/>
        <v xml:space="preserve">1.35,  (0.82 , 1.53), </v>
      </c>
      <c r="AC22">
        <f>MEDIAN(BK22:CI22)</f>
        <v>1.35482418737221</v>
      </c>
      <c r="AD22">
        <f>_xlfn.PERCENTILE.INC(BK22:CI22, 0.25)</f>
        <v>0.82319953655207001</v>
      </c>
      <c r="AE22">
        <f>_xlfn.PERCENTILE.INC(BK22:CI22, 0.75)</f>
        <v>1.5374163100735001</v>
      </c>
      <c r="AF22" s="48" t="s">
        <v>40</v>
      </c>
      <c r="AG22" t="s">
        <v>162</v>
      </c>
      <c r="AH22" t="s">
        <v>162</v>
      </c>
      <c r="AI22" t="s">
        <v>162</v>
      </c>
      <c r="AJ22" t="s">
        <v>162</v>
      </c>
      <c r="AK22" s="59" t="s">
        <v>162</v>
      </c>
      <c r="AL22" s="59" t="s">
        <v>162</v>
      </c>
      <c r="AM22" s="58" t="s">
        <v>162</v>
      </c>
      <c r="AN22" s="61" t="s">
        <v>162</v>
      </c>
      <c r="AO22" s="59" t="s">
        <v>162</v>
      </c>
      <c r="AP22" s="59" t="s">
        <v>162</v>
      </c>
      <c r="AQ22" s="118">
        <v>1.8748035499796001</v>
      </c>
      <c r="AR22" s="58" t="s">
        <v>162</v>
      </c>
      <c r="AS22" s="59" t="s">
        <v>162</v>
      </c>
      <c r="AT22" s="58" t="s">
        <v>162</v>
      </c>
      <c r="AU22" s="58" t="s">
        <v>162</v>
      </c>
      <c r="AV22" s="58" t="s">
        <v>162</v>
      </c>
      <c r="AW22" s="116">
        <v>2.19564463555766</v>
      </c>
      <c r="AX22" s="58" t="s">
        <v>162</v>
      </c>
      <c r="AY22" s="58" t="s">
        <v>162</v>
      </c>
      <c r="AZ22" s="116">
        <v>3.7528026920173101</v>
      </c>
      <c r="BJ22" s="48" t="s">
        <v>40</v>
      </c>
      <c r="BK22" t="s">
        <v>162</v>
      </c>
      <c r="BL22" t="s">
        <v>162</v>
      </c>
      <c r="BM22" t="s">
        <v>162</v>
      </c>
      <c r="BN22" t="s">
        <v>162</v>
      </c>
      <c r="BO22" t="s">
        <v>162</v>
      </c>
      <c r="BP22" t="s">
        <v>162</v>
      </c>
      <c r="BQ22" t="s">
        <v>162</v>
      </c>
      <c r="BR22" t="s">
        <v>162</v>
      </c>
      <c r="BS22" s="58">
        <v>0.52535944249941502</v>
      </c>
      <c r="BT22" s="116">
        <v>1.35482418737221</v>
      </c>
      <c r="BU22" s="58">
        <v>1.70075307373037</v>
      </c>
      <c r="BV22" s="58">
        <v>2.5404880981468598</v>
      </c>
      <c r="BW22" s="58">
        <v>1.1218892059474299</v>
      </c>
      <c r="BX22" s="58">
        <v>1.47958805400294</v>
      </c>
      <c r="BY22" s="58">
        <v>0.82319953655207001</v>
      </c>
      <c r="BZ22" s="59" t="s">
        <v>162</v>
      </c>
      <c r="CA22" s="116">
        <v>1.5374163100735001</v>
      </c>
      <c r="CB22" t="s">
        <v>162</v>
      </c>
      <c r="CC22" s="116">
        <v>0.53042259043599305</v>
      </c>
    </row>
    <row r="23" spans="2:81" ht="23.4" x14ac:dyDescent="0.45">
      <c r="C23" s="58"/>
      <c r="D23" s="126" t="s">
        <v>356</v>
      </c>
      <c r="E23" s="58"/>
      <c r="F23" s="58"/>
      <c r="S23" s="39"/>
      <c r="T23" s="39"/>
      <c r="U23" s="39"/>
      <c r="V23" s="39"/>
      <c r="W23" s="68"/>
      <c r="AK23" s="58"/>
      <c r="AL23" s="59"/>
      <c r="AM23" s="58"/>
      <c r="AN23" s="61"/>
      <c r="AO23" s="62"/>
      <c r="AP23" s="58"/>
      <c r="AQ23" s="58"/>
      <c r="AR23" s="58"/>
      <c r="AS23" s="61"/>
      <c r="AT23" s="58"/>
      <c r="BS23" s="58"/>
      <c r="BT23" s="58"/>
      <c r="BU23" s="58"/>
    </row>
    <row r="24" spans="2:81" ht="15" thickBot="1" x14ac:dyDescent="0.35">
      <c r="C24" s="58"/>
      <c r="D24" s="58"/>
      <c r="E24" s="58"/>
      <c r="F24" s="58"/>
      <c r="S24" s="39"/>
      <c r="T24" s="39"/>
      <c r="U24" s="39"/>
      <c r="V24" s="39"/>
      <c r="W24" s="68"/>
      <c r="AK24" s="58"/>
      <c r="AL24" s="59"/>
      <c r="AM24" s="58"/>
      <c r="AN24" s="61"/>
      <c r="AO24" s="62"/>
      <c r="AP24" s="58"/>
      <c r="AQ24" s="58"/>
      <c r="AR24" s="58"/>
      <c r="AS24" s="61"/>
      <c r="AT24" s="58"/>
      <c r="BS24" s="58"/>
      <c r="BT24" s="58"/>
      <c r="BU24" s="58"/>
    </row>
    <row r="25" spans="2:81" x14ac:dyDescent="0.3">
      <c r="B25" s="120"/>
      <c r="C25" s="185" t="s">
        <v>310</v>
      </c>
      <c r="D25" s="186"/>
      <c r="E25" s="187" t="s">
        <v>41</v>
      </c>
      <c r="F25" s="188"/>
      <c r="S25" s="39"/>
      <c r="T25" s="39"/>
      <c r="U25" s="39"/>
      <c r="V25" s="39"/>
      <c r="W25" s="68"/>
      <c r="AK25" s="58"/>
      <c r="AL25" s="59"/>
      <c r="AM25" s="58"/>
      <c r="AN25" s="61"/>
      <c r="AO25" s="62"/>
      <c r="AP25" s="58"/>
      <c r="AQ25" s="58"/>
      <c r="AR25" s="58"/>
      <c r="AS25" s="61"/>
      <c r="AT25" s="58"/>
      <c r="BS25" s="58"/>
      <c r="BT25" s="58"/>
      <c r="BU25" s="58"/>
    </row>
    <row r="26" spans="2:81" x14ac:dyDescent="0.3">
      <c r="B26" s="84"/>
      <c r="C26" s="127" t="s">
        <v>447</v>
      </c>
      <c r="D26" s="128" t="s">
        <v>308</v>
      </c>
      <c r="E26" s="127" t="s">
        <v>447</v>
      </c>
      <c r="F26" s="129" t="s">
        <v>308</v>
      </c>
      <c r="H26" s="1"/>
      <c r="R26" s="39"/>
      <c r="S26" s="39"/>
      <c r="T26" s="39"/>
      <c r="U26" s="39"/>
      <c r="V26" s="68"/>
      <c r="AJ26" s="58"/>
      <c r="AK26" s="59"/>
      <c r="AL26" s="58"/>
      <c r="AM26" s="61"/>
      <c r="AN26" s="62"/>
      <c r="AO26" s="58"/>
      <c r="AP26" s="58"/>
      <c r="AQ26" s="58"/>
      <c r="AR26" s="61"/>
      <c r="AS26" s="58"/>
      <c r="BR26" s="58"/>
      <c r="BS26" s="58"/>
      <c r="BT26" s="58"/>
    </row>
    <row r="27" spans="2:81" x14ac:dyDescent="0.3">
      <c r="B27" s="76" t="s">
        <v>3</v>
      </c>
      <c r="C27" s="102" t="s">
        <v>441</v>
      </c>
      <c r="D27" s="111" t="s">
        <v>442</v>
      </c>
      <c r="E27" s="102" t="s">
        <v>439</v>
      </c>
      <c r="F27" s="103" t="s">
        <v>440</v>
      </c>
      <c r="H27" s="99">
        <v>45021</v>
      </c>
      <c r="I27" t="s">
        <v>443</v>
      </c>
      <c r="J27" s="10"/>
      <c r="R27" s="39"/>
      <c r="S27" s="39"/>
      <c r="T27" s="39"/>
      <c r="U27" s="39"/>
      <c r="V27" s="68"/>
      <c r="AJ27" s="58"/>
      <c r="AK27" s="59"/>
      <c r="AL27" s="58"/>
      <c r="AM27" s="61"/>
      <c r="AN27" s="62"/>
      <c r="AO27" s="58"/>
      <c r="AP27" s="58"/>
      <c r="AQ27" s="58"/>
      <c r="AR27" s="61"/>
      <c r="AS27" s="58"/>
      <c r="BR27" s="58"/>
      <c r="BS27" s="58"/>
      <c r="BT27" s="58"/>
    </row>
    <row r="28" spans="2:81" x14ac:dyDescent="0.3">
      <c r="B28" s="48" t="s">
        <v>292</v>
      </c>
      <c r="C28" s="102" t="s">
        <v>431</v>
      </c>
      <c r="D28" s="111" t="s">
        <v>432</v>
      </c>
      <c r="E28" s="102" t="s">
        <v>435</v>
      </c>
      <c r="F28" s="103" t="s">
        <v>436</v>
      </c>
      <c r="H28" s="99">
        <v>45021</v>
      </c>
      <c r="I28" t="s">
        <v>444</v>
      </c>
    </row>
    <row r="29" spans="2:81" x14ac:dyDescent="0.3">
      <c r="B29" s="48" t="s">
        <v>301</v>
      </c>
      <c r="C29" s="102" t="s">
        <v>410</v>
      </c>
      <c r="D29" s="111" t="s">
        <v>411</v>
      </c>
      <c r="E29" s="102" t="s">
        <v>415</v>
      </c>
      <c r="F29" s="103" t="s">
        <v>409</v>
      </c>
      <c r="H29" s="99">
        <v>45021</v>
      </c>
      <c r="I29" t="s">
        <v>445</v>
      </c>
    </row>
    <row r="30" spans="2:81" x14ac:dyDescent="0.3">
      <c r="B30" s="48" t="s">
        <v>302</v>
      </c>
      <c r="C30" s="102" t="s">
        <v>412</v>
      </c>
      <c r="D30" s="111" t="s">
        <v>413</v>
      </c>
      <c r="E30" s="102" t="s">
        <v>414</v>
      </c>
      <c r="F30" s="103" t="s">
        <v>416</v>
      </c>
      <c r="H30" s="99">
        <v>45021</v>
      </c>
      <c r="I30" t="s">
        <v>446</v>
      </c>
    </row>
    <row r="31" spans="2:81" x14ac:dyDescent="0.3">
      <c r="B31" s="48" t="s">
        <v>280</v>
      </c>
      <c r="C31" s="102" t="s">
        <v>425</v>
      </c>
      <c r="D31" s="111" t="s">
        <v>426</v>
      </c>
      <c r="E31" s="102" t="s">
        <v>427</v>
      </c>
      <c r="F31" s="103" t="s">
        <v>428</v>
      </c>
      <c r="H31" s="99">
        <v>45021</v>
      </c>
      <c r="I31" t="s">
        <v>446</v>
      </c>
    </row>
    <row r="32" spans="2:81" ht="15" customHeight="1" x14ac:dyDescent="0.3">
      <c r="B32" s="48" t="s">
        <v>304</v>
      </c>
      <c r="C32" s="102" t="s">
        <v>417</v>
      </c>
      <c r="D32" s="111" t="s">
        <v>418</v>
      </c>
      <c r="E32" s="102" t="s">
        <v>419</v>
      </c>
      <c r="F32" s="103" t="s">
        <v>420</v>
      </c>
      <c r="H32" s="99">
        <v>45021</v>
      </c>
      <c r="I32" t="s">
        <v>446</v>
      </c>
    </row>
    <row r="33" spans="2:9" ht="15.75" customHeight="1" thickBot="1" x14ac:dyDescent="0.35">
      <c r="B33" s="51" t="s">
        <v>305</v>
      </c>
      <c r="C33" s="104" t="s">
        <v>421</v>
      </c>
      <c r="D33" s="112" t="s">
        <v>422</v>
      </c>
      <c r="E33" s="104" t="s">
        <v>423</v>
      </c>
      <c r="F33" s="105" t="s">
        <v>424</v>
      </c>
      <c r="H33" s="99">
        <v>45021</v>
      </c>
      <c r="I33" t="s">
        <v>445</v>
      </c>
    </row>
    <row r="34" spans="2:9" x14ac:dyDescent="0.3">
      <c r="C34" s="58"/>
      <c r="D34" s="58"/>
      <c r="E34" s="58"/>
      <c r="F34" s="58"/>
    </row>
    <row r="35" spans="2:9" x14ac:dyDescent="0.3">
      <c r="C35" s="58"/>
      <c r="D35" s="58"/>
      <c r="E35" s="58"/>
      <c r="F35" s="58"/>
    </row>
    <row r="48" spans="2:9" x14ac:dyDescent="0.3">
      <c r="B48" t="s">
        <v>313</v>
      </c>
    </row>
    <row r="49" spans="2:14" ht="15" thickBot="1" x14ac:dyDescent="0.35"/>
    <row r="50" spans="2:14" ht="29.4" thickBot="1" x14ac:dyDescent="0.35">
      <c r="B50" s="169" t="s">
        <v>314</v>
      </c>
      <c r="C50" s="170"/>
      <c r="D50" s="171"/>
      <c r="M50" s="28" t="s">
        <v>317</v>
      </c>
      <c r="N50" s="28" t="s">
        <v>320</v>
      </c>
    </row>
    <row r="51" spans="2:14" x14ac:dyDescent="0.3">
      <c r="B51" s="172" t="s">
        <v>310</v>
      </c>
      <c r="C51" s="173"/>
      <c r="D51" s="174"/>
    </row>
    <row r="52" spans="2:14" ht="15" thickBot="1" x14ac:dyDescent="0.35"/>
    <row r="53" spans="2:14" x14ac:dyDescent="0.3">
      <c r="B53" s="75"/>
      <c r="C53" s="46" t="s">
        <v>7</v>
      </c>
      <c r="D53" s="46"/>
      <c r="E53" s="46" t="s">
        <v>0</v>
      </c>
      <c r="F53" s="46"/>
      <c r="G53" s="46"/>
      <c r="H53" s="46"/>
      <c r="I53" s="90"/>
      <c r="J53" s="46" t="s">
        <v>315</v>
      </c>
      <c r="K53" s="98"/>
    </row>
    <row r="54" spans="2:14" ht="28.8" x14ac:dyDescent="0.3">
      <c r="B54" s="84"/>
      <c r="C54" s="3" t="s">
        <v>281</v>
      </c>
      <c r="D54" s="8" t="s">
        <v>308</v>
      </c>
      <c r="E54" s="3" t="s">
        <v>281</v>
      </c>
      <c r="F54" s="3"/>
      <c r="G54" s="3"/>
      <c r="H54" s="3"/>
      <c r="I54" s="8" t="s">
        <v>308</v>
      </c>
      <c r="J54" s="3" t="s">
        <v>281</v>
      </c>
      <c r="K54" s="91" t="s">
        <v>308</v>
      </c>
    </row>
    <row r="55" spans="2:14" x14ac:dyDescent="0.3">
      <c r="B55" s="76" t="s">
        <v>279</v>
      </c>
      <c r="C55" s="10" t="s">
        <v>311</v>
      </c>
      <c r="D55" s="10" t="s">
        <v>309</v>
      </c>
      <c r="E55" s="10" t="s">
        <v>311</v>
      </c>
      <c r="F55" s="10"/>
      <c r="G55" s="10"/>
      <c r="H55" s="10"/>
      <c r="I55" s="10" t="s">
        <v>309</v>
      </c>
      <c r="J55" s="102" t="s">
        <v>311</v>
      </c>
      <c r="K55" s="103" t="s">
        <v>309</v>
      </c>
      <c r="M55" s="99">
        <v>44629</v>
      </c>
    </row>
    <row r="56" spans="2:14" ht="15" thickBot="1" x14ac:dyDescent="0.35">
      <c r="B56" s="51" t="s">
        <v>292</v>
      </c>
      <c r="C56" s="55" t="s">
        <v>339</v>
      </c>
      <c r="D56" s="55" t="s">
        <v>344</v>
      </c>
      <c r="E56" s="55" t="s">
        <v>342</v>
      </c>
      <c r="F56" s="55"/>
      <c r="G56" s="55"/>
      <c r="H56" s="55"/>
      <c r="I56" s="55" t="s">
        <v>343</v>
      </c>
      <c r="J56" s="104" t="s">
        <v>340</v>
      </c>
      <c r="K56" s="105" t="s">
        <v>341</v>
      </c>
      <c r="M56" s="99">
        <v>44629</v>
      </c>
      <c r="N56" t="s">
        <v>338</v>
      </c>
    </row>
    <row r="60" spans="2:14" x14ac:dyDescent="0.3">
      <c r="B60" t="s">
        <v>312</v>
      </c>
    </row>
    <row r="61" spans="2:14" ht="29.4" thickBot="1" x14ac:dyDescent="0.35">
      <c r="M61" s="28" t="s">
        <v>317</v>
      </c>
      <c r="N61" s="28" t="s">
        <v>320</v>
      </c>
    </row>
    <row r="62" spans="2:14" ht="15" thickBot="1" x14ac:dyDescent="0.35">
      <c r="B62" s="169" t="s">
        <v>314</v>
      </c>
      <c r="C62" s="170"/>
      <c r="D62" s="171"/>
    </row>
    <row r="63" spans="2:14" x14ac:dyDescent="0.3">
      <c r="B63" s="172" t="s">
        <v>41</v>
      </c>
      <c r="C63" s="173"/>
      <c r="D63" s="174"/>
    </row>
    <row r="64" spans="2:14" ht="15" thickBot="1" x14ac:dyDescent="0.35"/>
    <row r="65" spans="2:17" x14ac:dyDescent="0.3">
      <c r="B65" s="75"/>
      <c r="C65" s="46" t="s">
        <v>7</v>
      </c>
      <c r="D65" s="46"/>
      <c r="E65" s="46" t="s">
        <v>0</v>
      </c>
      <c r="F65" s="46"/>
      <c r="G65" s="46"/>
      <c r="H65" s="46"/>
      <c r="I65" s="90"/>
      <c r="J65" s="46" t="s">
        <v>315</v>
      </c>
      <c r="K65" s="98"/>
    </row>
    <row r="66" spans="2:17" ht="28.8" x14ac:dyDescent="0.3">
      <c r="B66" s="84"/>
      <c r="C66" s="3" t="s">
        <v>281</v>
      </c>
      <c r="D66" s="8" t="s">
        <v>308</v>
      </c>
      <c r="E66" s="3" t="s">
        <v>281</v>
      </c>
      <c r="F66" s="3"/>
      <c r="G66" s="3"/>
      <c r="H66" s="3"/>
      <c r="I66" s="8" t="s">
        <v>308</v>
      </c>
      <c r="J66" s="3" t="s">
        <v>281</v>
      </c>
      <c r="K66" s="91" t="s">
        <v>308</v>
      </c>
    </row>
    <row r="67" spans="2:17" x14ac:dyDescent="0.3">
      <c r="B67" s="76" t="s">
        <v>279</v>
      </c>
      <c r="C67" s="10" t="s">
        <v>311</v>
      </c>
      <c r="D67" s="10" t="s">
        <v>309</v>
      </c>
      <c r="E67" s="10" t="s">
        <v>311</v>
      </c>
      <c r="F67" s="10"/>
      <c r="G67" s="10"/>
      <c r="H67" s="10"/>
      <c r="I67" s="10" t="s">
        <v>309</v>
      </c>
      <c r="J67" s="102" t="s">
        <v>311</v>
      </c>
      <c r="K67" s="103" t="s">
        <v>309</v>
      </c>
      <c r="M67" s="99">
        <v>44629</v>
      </c>
    </row>
    <row r="68" spans="2:17" ht="15" thickBot="1" x14ac:dyDescent="0.35">
      <c r="B68" s="51" t="s">
        <v>292</v>
      </c>
      <c r="C68" s="55" t="s">
        <v>345</v>
      </c>
      <c r="D68" s="55" t="s">
        <v>346</v>
      </c>
      <c r="E68" s="55" t="s">
        <v>347</v>
      </c>
      <c r="F68" s="55"/>
      <c r="G68" s="55"/>
      <c r="H68" s="55"/>
      <c r="I68" s="55" t="s">
        <v>348</v>
      </c>
      <c r="J68" s="104" t="s">
        <v>349</v>
      </c>
      <c r="K68" s="105" t="s">
        <v>350</v>
      </c>
      <c r="M68" s="99">
        <v>44629</v>
      </c>
      <c r="N68" t="s">
        <v>338</v>
      </c>
    </row>
    <row r="74" spans="2:17" ht="23.4" x14ac:dyDescent="0.45">
      <c r="B74" s="94" t="s">
        <v>282</v>
      </c>
    </row>
    <row r="76" spans="2:17" ht="15" thickBot="1" x14ac:dyDescent="0.35">
      <c r="B76" t="s">
        <v>42</v>
      </c>
      <c r="C76" s="7">
        <v>44959</v>
      </c>
    </row>
    <row r="77" spans="2:17" x14ac:dyDescent="0.3">
      <c r="B77" s="45" t="s">
        <v>37</v>
      </c>
      <c r="C77" s="46" t="s">
        <v>7</v>
      </c>
      <c r="D77" s="46" t="s">
        <v>0</v>
      </c>
      <c r="E77" s="47" t="s">
        <v>43</v>
      </c>
      <c r="F77" s="74"/>
      <c r="G77" s="74"/>
      <c r="H77" s="74"/>
    </row>
    <row r="78" spans="2:17" x14ac:dyDescent="0.3">
      <c r="B78" s="48"/>
      <c r="C78" s="10"/>
      <c r="D78" s="10"/>
      <c r="E78" s="53"/>
      <c r="F78" s="39"/>
      <c r="G78" s="39"/>
      <c r="H78" s="39"/>
    </row>
    <row r="79" spans="2:17" x14ac:dyDescent="0.3">
      <c r="B79" s="49" t="s">
        <v>74</v>
      </c>
      <c r="C79" s="25"/>
      <c r="D79" s="25"/>
      <c r="E79" s="53"/>
      <c r="F79" s="39"/>
      <c r="G79" s="39"/>
      <c r="H79" s="39"/>
    </row>
    <row r="80" spans="2:17" x14ac:dyDescent="0.3">
      <c r="B80" s="50" t="s">
        <v>38</v>
      </c>
      <c r="C80" s="10"/>
      <c r="D80" s="10"/>
      <c r="E80" s="53"/>
      <c r="F80" s="39"/>
      <c r="G80" s="39"/>
      <c r="H80" s="39"/>
      <c r="L80" s="39"/>
      <c r="M80" s="39"/>
      <c r="N80" s="39"/>
      <c r="O80" s="39"/>
      <c r="P80" s="39"/>
      <c r="Q80" s="39"/>
    </row>
    <row r="81" spans="2:80" x14ac:dyDescent="0.3">
      <c r="B81" s="48" t="s">
        <v>39</v>
      </c>
      <c r="C81" s="10" t="str">
        <f>X16</f>
        <v xml:space="preserve">2.12,  (1.46 , 2.67), </v>
      </c>
      <c r="D81" s="10" t="str">
        <f>AB16</f>
        <v xml:space="preserve">3.49,  (2.44 , 4.25), </v>
      </c>
      <c r="E81" s="53"/>
      <c r="F81" s="39"/>
      <c r="G81" s="39"/>
      <c r="H81" s="39"/>
      <c r="L81" s="39"/>
      <c r="M81" s="39"/>
      <c r="N81" s="39"/>
      <c r="O81" s="39"/>
      <c r="P81" s="39"/>
      <c r="Q81" s="39"/>
    </row>
    <row r="82" spans="2:80" x14ac:dyDescent="0.3">
      <c r="B82" s="48" t="s">
        <v>40</v>
      </c>
      <c r="C82" s="10" t="str">
        <f>X17</f>
        <v xml:space="preserve">1.83,  (1.37 , 2.04), </v>
      </c>
      <c r="D82" s="10" t="str">
        <f>AB17</f>
        <v xml:space="preserve">2.23,  (1.19 , 2.82), </v>
      </c>
      <c r="E82" s="53"/>
      <c r="F82" s="39"/>
      <c r="G82" s="39"/>
      <c r="H82" s="39"/>
      <c r="L82" s="39"/>
      <c r="M82" s="39"/>
      <c r="N82" s="39"/>
      <c r="O82" s="39"/>
      <c r="P82" s="39"/>
      <c r="Q82" s="39"/>
    </row>
    <row r="83" spans="2:80" x14ac:dyDescent="0.3">
      <c r="B83" s="50" t="s">
        <v>41</v>
      </c>
      <c r="C83" s="10"/>
      <c r="D83" s="10"/>
      <c r="E83" s="53"/>
      <c r="F83" s="39"/>
      <c r="G83" s="39"/>
      <c r="H83" s="39"/>
      <c r="L83" s="39"/>
      <c r="M83" s="39"/>
      <c r="N83" s="39"/>
      <c r="O83" s="39"/>
      <c r="P83" s="39"/>
      <c r="Q83" s="39"/>
    </row>
    <row r="84" spans="2:80" x14ac:dyDescent="0.3">
      <c r="B84" s="48" t="s">
        <v>39</v>
      </c>
      <c r="C84" s="10" t="str">
        <f>X21</f>
        <v xml:space="preserve">1.81,  (1.49 , 2.17), </v>
      </c>
      <c r="D84" s="10" t="str">
        <f>AB21</f>
        <v xml:space="preserve">1.68,  (1.06 , 2.56), </v>
      </c>
      <c r="E84" s="53"/>
      <c r="F84" s="39"/>
      <c r="G84" s="39"/>
      <c r="H84" s="39"/>
      <c r="L84" s="39"/>
      <c r="M84" s="39"/>
      <c r="N84" s="39"/>
      <c r="O84" s="39"/>
      <c r="P84" s="39"/>
      <c r="Q84" s="39"/>
    </row>
    <row r="85" spans="2:80" x14ac:dyDescent="0.3">
      <c r="B85" s="48" t="s">
        <v>40</v>
      </c>
      <c r="C85" s="10" t="str">
        <f>X22</f>
        <v xml:space="preserve">2.19,  (2.03 , 2.97), </v>
      </c>
      <c r="D85" s="10" t="str">
        <f>AB22</f>
        <v xml:space="preserve">1.35,  (0.82 , 1.53), </v>
      </c>
      <c r="E85" s="53"/>
      <c r="F85" s="39"/>
      <c r="G85" s="39"/>
      <c r="H85" s="39"/>
      <c r="L85" s="39"/>
      <c r="M85" s="39"/>
      <c r="N85" s="39"/>
      <c r="O85" s="39"/>
      <c r="P85" s="39"/>
      <c r="Q85" s="39"/>
    </row>
    <row r="86" spans="2:80" x14ac:dyDescent="0.3">
      <c r="C86" s="39"/>
      <c r="D86" s="39"/>
      <c r="E86" s="39"/>
      <c r="F86" s="39"/>
      <c r="G86" s="39"/>
      <c r="H86" s="39"/>
      <c r="L86" s="39"/>
      <c r="M86" s="39"/>
      <c r="N86" s="39"/>
      <c r="O86" s="39"/>
      <c r="P86" s="39"/>
      <c r="Q86" s="39"/>
    </row>
    <row r="87" spans="2:80" x14ac:dyDescent="0.3">
      <c r="C87" s="39"/>
      <c r="D87" s="39"/>
      <c r="E87" s="39"/>
      <c r="F87" s="39"/>
      <c r="G87" s="39"/>
      <c r="H87" s="39"/>
      <c r="L87" s="39"/>
      <c r="M87" s="39"/>
      <c r="N87" s="39"/>
      <c r="O87" s="39"/>
      <c r="P87" s="39"/>
      <c r="Q87" s="39"/>
    </row>
    <row r="88" spans="2:80" x14ac:dyDescent="0.3">
      <c r="C88" s="39"/>
      <c r="D88" s="39"/>
      <c r="E88" s="39"/>
      <c r="F88" s="39"/>
      <c r="G88" s="39"/>
      <c r="H88" s="39"/>
      <c r="L88" s="39"/>
      <c r="M88" s="39"/>
      <c r="N88" s="39"/>
      <c r="O88" s="39"/>
      <c r="P88" s="39"/>
      <c r="Q88" s="39"/>
    </row>
    <row r="89" spans="2:80" x14ac:dyDescent="0.3">
      <c r="L89" s="39"/>
      <c r="M89" s="39"/>
      <c r="N89" s="39"/>
      <c r="O89" s="39"/>
      <c r="P89" s="39"/>
      <c r="Q89" s="39"/>
    </row>
    <row r="90" spans="2:80" ht="25.8" x14ac:dyDescent="0.5">
      <c r="B90" s="57" t="s">
        <v>175</v>
      </c>
      <c r="L90" s="39"/>
      <c r="M90" s="39"/>
      <c r="N90" s="39"/>
      <c r="O90" s="39"/>
      <c r="P90" s="39"/>
      <c r="Q90" s="39"/>
    </row>
    <row r="91" spans="2:80" x14ac:dyDescent="0.3">
      <c r="B91" t="s">
        <v>42</v>
      </c>
      <c r="C91" s="7">
        <v>44959</v>
      </c>
      <c r="L91" s="39"/>
      <c r="M91" s="39"/>
      <c r="N91" s="39"/>
      <c r="O91" s="39"/>
      <c r="P91" s="39"/>
      <c r="Q91" s="39"/>
    </row>
    <row r="92" spans="2:80" ht="15" thickBot="1" x14ac:dyDescent="0.35">
      <c r="L92" s="39"/>
      <c r="M92" s="39"/>
      <c r="N92" s="39"/>
      <c r="O92" s="39"/>
      <c r="P92" s="39"/>
      <c r="Q92" s="39"/>
    </row>
    <row r="93" spans="2:80" x14ac:dyDescent="0.3">
      <c r="B93" s="45" t="s">
        <v>37</v>
      </c>
      <c r="C93" s="46" t="s">
        <v>7</v>
      </c>
      <c r="D93" s="46" t="s">
        <v>0</v>
      </c>
      <c r="E93" s="47" t="s">
        <v>43</v>
      </c>
      <c r="F93" s="74"/>
      <c r="G93" s="74"/>
      <c r="H93" s="74"/>
      <c r="AF93" s="1" t="s">
        <v>187</v>
      </c>
      <c r="AG93" t="s">
        <v>188</v>
      </c>
      <c r="AH93" t="s">
        <v>189</v>
      </c>
      <c r="AI93" t="s">
        <v>190</v>
      </c>
      <c r="AJ93" t="s">
        <v>191</v>
      </c>
      <c r="AK93" t="s">
        <v>192</v>
      </c>
      <c r="AL93" t="s">
        <v>193</v>
      </c>
      <c r="AM93" t="s">
        <v>194</v>
      </c>
      <c r="AN93" t="s">
        <v>194</v>
      </c>
      <c r="AO93" t="s">
        <v>195</v>
      </c>
      <c r="AP93" t="s">
        <v>196</v>
      </c>
      <c r="AQ93" t="s">
        <v>197</v>
      </c>
      <c r="AR93" t="s">
        <v>198</v>
      </c>
      <c r="AS93" t="s">
        <v>199</v>
      </c>
      <c r="AT93" t="s">
        <v>200</v>
      </c>
      <c r="AW93" t="s">
        <v>378</v>
      </c>
      <c r="BJ93" s="1" t="s">
        <v>187</v>
      </c>
      <c r="BK93" t="s">
        <v>202</v>
      </c>
      <c r="BL93" t="s">
        <v>198</v>
      </c>
      <c r="BM93" t="s">
        <v>203</v>
      </c>
      <c r="BN93" t="s">
        <v>204</v>
      </c>
      <c r="BO93" t="s">
        <v>205</v>
      </c>
      <c r="BP93" t="s">
        <v>206</v>
      </c>
      <c r="BQ93" t="s">
        <v>207</v>
      </c>
      <c r="BR93" t="s">
        <v>208</v>
      </c>
      <c r="BS93" t="s">
        <v>209</v>
      </c>
      <c r="BT93" t="s">
        <v>210</v>
      </c>
      <c r="BU93" t="s">
        <v>203</v>
      </c>
      <c r="BV93" t="s">
        <v>211</v>
      </c>
      <c r="BW93" t="s">
        <v>212</v>
      </c>
      <c r="BX93" t="s">
        <v>213</v>
      </c>
      <c r="BY93" t="s">
        <v>380</v>
      </c>
      <c r="BZ93" t="s">
        <v>381</v>
      </c>
      <c r="CA93" t="s">
        <v>382</v>
      </c>
      <c r="CB93" t="s">
        <v>383</v>
      </c>
    </row>
    <row r="94" spans="2:80" x14ac:dyDescent="0.3">
      <c r="B94" s="48"/>
      <c r="C94" s="10"/>
      <c r="D94" s="10"/>
      <c r="E94" s="53"/>
      <c r="F94" s="39"/>
      <c r="G94" s="39"/>
      <c r="H94" s="39"/>
      <c r="AF94" s="1" t="s">
        <v>201</v>
      </c>
      <c r="AG94">
        <f>AG95/12</f>
        <v>12.5</v>
      </c>
      <c r="AH94" t="s">
        <v>162</v>
      </c>
      <c r="AI94">
        <f>AI95/12</f>
        <v>10.5</v>
      </c>
      <c r="AJ94">
        <f>AJ95/12</f>
        <v>10.916666666666666</v>
      </c>
      <c r="AK94">
        <f>AK95/12</f>
        <v>14.833333333333334</v>
      </c>
      <c r="AL94">
        <f>AL95/12</f>
        <v>9.8333333333333339</v>
      </c>
      <c r="AM94" t="s">
        <v>162</v>
      </c>
      <c r="AN94">
        <v>18</v>
      </c>
      <c r="AO94" t="s">
        <v>162</v>
      </c>
      <c r="AP94" t="s">
        <v>162</v>
      </c>
      <c r="AQ94">
        <f>AQ95/12</f>
        <v>10.833333333333334</v>
      </c>
      <c r="AR94" s="27" t="s">
        <v>162</v>
      </c>
      <c r="AS94">
        <f>AS95/12</f>
        <v>14.75</v>
      </c>
      <c r="AT94" s="27" t="s">
        <v>162</v>
      </c>
      <c r="AU94" s="27" t="s">
        <v>162</v>
      </c>
      <c r="AV94" s="27" t="s">
        <v>162</v>
      </c>
      <c r="AW94">
        <f>AW95/12</f>
        <v>12.583333333333334</v>
      </c>
      <c r="BJ94" s="1" t="s">
        <v>201</v>
      </c>
      <c r="BK94">
        <f>BK95/12</f>
        <v>10.583333333333334</v>
      </c>
      <c r="BL94">
        <f>BL95/12</f>
        <v>7.083333333333333</v>
      </c>
      <c r="BM94">
        <f>BM95/12</f>
        <v>7.333333333333333</v>
      </c>
      <c r="BN94" t="s">
        <v>162</v>
      </c>
      <c r="BO94">
        <f t="shared" ref="BO94:CA94" si="3">BO95/12</f>
        <v>11.166666666666666</v>
      </c>
      <c r="BP94">
        <f t="shared" si="3"/>
        <v>9.25</v>
      </c>
      <c r="BQ94">
        <f t="shared" si="3"/>
        <v>9.5</v>
      </c>
      <c r="BR94">
        <f t="shared" si="3"/>
        <v>6.75</v>
      </c>
      <c r="BS94">
        <f t="shared" si="3"/>
        <v>13.416666666666666</v>
      </c>
      <c r="BT94">
        <f t="shared" si="3"/>
        <v>8.6666666666666661</v>
      </c>
      <c r="BU94">
        <f t="shared" si="3"/>
        <v>11.833333333333334</v>
      </c>
      <c r="BV94">
        <f t="shared" si="3"/>
        <v>7.333333333333333</v>
      </c>
      <c r="BW94">
        <f t="shared" si="3"/>
        <v>15</v>
      </c>
      <c r="BX94">
        <f t="shared" si="3"/>
        <v>11.833333333333334</v>
      </c>
      <c r="BY94">
        <f t="shared" si="3"/>
        <v>11.916666666666666</v>
      </c>
      <c r="BZ94">
        <f t="shared" si="3"/>
        <v>15.75</v>
      </c>
      <c r="CA94">
        <f t="shared" si="3"/>
        <v>12.333333333333334</v>
      </c>
      <c r="CB94" t="s">
        <v>162</v>
      </c>
    </row>
    <row r="95" spans="2:80" x14ac:dyDescent="0.3">
      <c r="B95" s="49" t="s">
        <v>74</v>
      </c>
      <c r="C95" s="25"/>
      <c r="D95" s="25"/>
      <c r="E95" s="53"/>
      <c r="F95" s="39"/>
      <c r="G95" s="39"/>
      <c r="H95" s="39"/>
      <c r="AF95" s="1" t="s">
        <v>72</v>
      </c>
      <c r="AG95">
        <v>150</v>
      </c>
      <c r="AH95" t="s">
        <v>162</v>
      </c>
      <c r="AI95">
        <v>126</v>
      </c>
      <c r="AJ95">
        <v>131</v>
      </c>
      <c r="AK95">
        <v>178</v>
      </c>
      <c r="AL95">
        <v>118</v>
      </c>
      <c r="AM95" t="s">
        <v>162</v>
      </c>
      <c r="AN95">
        <v>224</v>
      </c>
      <c r="AO95" t="s">
        <v>162</v>
      </c>
      <c r="AP95" t="s">
        <v>162</v>
      </c>
      <c r="AQ95">
        <v>130</v>
      </c>
      <c r="AR95" s="27" t="s">
        <v>162</v>
      </c>
      <c r="AS95">
        <v>177</v>
      </c>
      <c r="AT95" s="27" t="s">
        <v>162</v>
      </c>
      <c r="AU95" s="27" t="s">
        <v>162</v>
      </c>
      <c r="AV95" s="27" t="s">
        <v>162</v>
      </c>
      <c r="AW95">
        <v>151</v>
      </c>
      <c r="BJ95" s="1" t="s">
        <v>72</v>
      </c>
      <c r="BK95">
        <v>127</v>
      </c>
      <c r="BL95">
        <v>85</v>
      </c>
      <c r="BM95">
        <v>88</v>
      </c>
      <c r="BN95" t="s">
        <v>162</v>
      </c>
      <c r="BO95">
        <v>134</v>
      </c>
      <c r="BP95">
        <v>111</v>
      </c>
      <c r="BQ95" s="27">
        <v>114</v>
      </c>
      <c r="BR95" s="1">
        <v>81</v>
      </c>
      <c r="BS95">
        <v>161</v>
      </c>
      <c r="BT95">
        <v>104</v>
      </c>
      <c r="BU95">
        <v>142</v>
      </c>
      <c r="BV95">
        <v>88</v>
      </c>
      <c r="BW95">
        <v>180</v>
      </c>
      <c r="BX95">
        <v>142</v>
      </c>
      <c r="BY95">
        <v>143</v>
      </c>
      <c r="BZ95">
        <v>189</v>
      </c>
      <c r="CA95">
        <v>148</v>
      </c>
      <c r="CB95" t="s">
        <v>162</v>
      </c>
    </row>
    <row r="96" spans="2:80" ht="43.2" x14ac:dyDescent="0.3">
      <c r="B96" s="50" t="s">
        <v>38</v>
      </c>
      <c r="C96" s="10"/>
      <c r="D96" s="10"/>
      <c r="E96" s="53"/>
      <c r="F96" s="39"/>
      <c r="G96" s="39"/>
      <c r="H96" s="39"/>
      <c r="R96" s="1" t="s">
        <v>183</v>
      </c>
      <c r="S96" s="1" t="s">
        <v>184</v>
      </c>
      <c r="T96" s="1"/>
      <c r="U96" s="1"/>
      <c r="V96" s="1"/>
      <c r="W96" s="1"/>
      <c r="AF96" s="1" t="s">
        <v>387</v>
      </c>
      <c r="AG96" s="119" t="s">
        <v>67</v>
      </c>
      <c r="AH96" s="1" t="s">
        <v>73</v>
      </c>
      <c r="AI96" s="119" t="s">
        <v>68</v>
      </c>
      <c r="AJ96" s="119" t="s">
        <v>63</v>
      </c>
      <c r="AK96" s="29" t="s">
        <v>388</v>
      </c>
      <c r="AL96" s="1" t="s">
        <v>181</v>
      </c>
      <c r="AM96" s="1" t="s">
        <v>73</v>
      </c>
      <c r="AN96" s="64" t="s">
        <v>182</v>
      </c>
      <c r="AO96" s="1" t="s">
        <v>389</v>
      </c>
      <c r="AP96" s="1" t="s">
        <v>181</v>
      </c>
      <c r="AQ96" s="119" t="s">
        <v>69</v>
      </c>
      <c r="AR96" s="1" t="s">
        <v>73</v>
      </c>
      <c r="AS96" s="1" t="s">
        <v>181</v>
      </c>
      <c r="AT96" s="1" t="s">
        <v>73</v>
      </c>
      <c r="AU96" s="1" t="s">
        <v>73</v>
      </c>
      <c r="AV96" s="1" t="s">
        <v>73</v>
      </c>
      <c r="AW96" s="119" t="s">
        <v>258</v>
      </c>
      <c r="AX96" s="1"/>
      <c r="BJ96" s="1" t="s">
        <v>180</v>
      </c>
      <c r="BK96" s="1" t="s">
        <v>54</v>
      </c>
      <c r="BL96" s="65" t="s">
        <v>214</v>
      </c>
      <c r="BM96" s="65" t="s">
        <v>214</v>
      </c>
      <c r="BN96" s="65" t="s">
        <v>214</v>
      </c>
      <c r="BO96" s="1" t="s">
        <v>51</v>
      </c>
      <c r="BP96" s="1" t="s">
        <v>53</v>
      </c>
      <c r="BQ96" s="1" t="s">
        <v>61</v>
      </c>
      <c r="BR96" s="65" t="s">
        <v>214</v>
      </c>
      <c r="BS96" s="65" t="s">
        <v>214</v>
      </c>
      <c r="BT96" s="65" t="s">
        <v>214</v>
      </c>
      <c r="BU96" s="65" t="s">
        <v>214</v>
      </c>
      <c r="BV96" s="65" t="s">
        <v>214</v>
      </c>
      <c r="BW96" s="29" t="s">
        <v>388</v>
      </c>
      <c r="BX96" s="65" t="s">
        <v>214</v>
      </c>
      <c r="BY96" s="1" t="s">
        <v>266</v>
      </c>
      <c r="BZ96" s="65" t="s">
        <v>214</v>
      </c>
      <c r="CA96" s="1"/>
      <c r="CB96" s="1"/>
    </row>
    <row r="97" spans="2:80" ht="28.8" x14ac:dyDescent="0.3">
      <c r="B97" s="48" t="s">
        <v>39</v>
      </c>
      <c r="C97" s="10" t="str">
        <f>X103</f>
        <v>1.89,  (1.26 , 2.12), 5</v>
      </c>
      <c r="D97" s="10" t="str">
        <f>AB103</f>
        <v>3.1,  (2.46 , 3.52), 5</v>
      </c>
      <c r="E97" s="53"/>
      <c r="F97" s="39"/>
      <c r="G97" s="39"/>
      <c r="H97" s="39"/>
      <c r="R97">
        <f>MEDIAN(AG97:AU97)</f>
        <v>-7</v>
      </c>
      <c r="S97">
        <f>AVERAGE(AG97:AU97)</f>
        <v>-1</v>
      </c>
      <c r="AF97" s="1" t="s">
        <v>390</v>
      </c>
      <c r="AG97">
        <f>AG95-BS95</f>
        <v>-11</v>
      </c>
      <c r="AH97" t="s">
        <v>73</v>
      </c>
      <c r="AI97">
        <f>AI95-BT95</f>
        <v>22</v>
      </c>
      <c r="AJ97">
        <f>AJ95-BO95</f>
        <v>-3</v>
      </c>
      <c r="AK97" s="63" t="s">
        <v>162</v>
      </c>
      <c r="AL97" t="s">
        <v>73</v>
      </c>
      <c r="AM97" t="s">
        <v>73</v>
      </c>
      <c r="AO97" t="s">
        <v>73</v>
      </c>
      <c r="AP97" t="s">
        <v>73</v>
      </c>
      <c r="AQ97">
        <f>AQ95-BU95</f>
        <v>-12</v>
      </c>
      <c r="AR97" t="s">
        <v>73</v>
      </c>
      <c r="AS97" t="s">
        <v>73</v>
      </c>
      <c r="AT97" t="s">
        <v>73</v>
      </c>
      <c r="AU97" t="s">
        <v>73</v>
      </c>
      <c r="AV97" t="s">
        <v>73</v>
      </c>
      <c r="AW97">
        <f>AW95-CC95</f>
        <v>151</v>
      </c>
      <c r="BJ97" s="1" t="s">
        <v>185</v>
      </c>
    </row>
    <row r="98" spans="2:80" x14ac:dyDescent="0.3">
      <c r="B98" s="48" t="s">
        <v>40</v>
      </c>
      <c r="C98" s="10" t="str">
        <f>X104</f>
        <v>1.76,  (1.37 , 1.85), 4</v>
      </c>
      <c r="D98" s="10" t="str">
        <f>AB104</f>
        <v>2.13,  (0.98 , 2.37), 4</v>
      </c>
      <c r="E98" s="53"/>
      <c r="F98" s="39"/>
      <c r="G98" s="39"/>
      <c r="H98" s="39"/>
      <c r="S98" s="38" t="s">
        <v>218</v>
      </c>
      <c r="T98" s="38"/>
      <c r="U98" s="38"/>
      <c r="V98" s="38"/>
      <c r="W98" s="38"/>
      <c r="AF98" s="1" t="s">
        <v>391</v>
      </c>
      <c r="AG98" s="7">
        <v>44949</v>
      </c>
      <c r="AH98" t="s">
        <v>73</v>
      </c>
      <c r="AI98" s="7">
        <v>44949</v>
      </c>
      <c r="AJ98" s="7">
        <v>44949</v>
      </c>
      <c r="AK98" s="7">
        <v>44995</v>
      </c>
      <c r="AL98" t="s">
        <v>73</v>
      </c>
      <c r="AM98" t="s">
        <v>73</v>
      </c>
      <c r="AO98" t="s">
        <v>73</v>
      </c>
      <c r="AP98" t="s">
        <v>73</v>
      </c>
      <c r="AQ98" s="7">
        <v>44949</v>
      </c>
      <c r="AR98" t="s">
        <v>73</v>
      </c>
      <c r="AS98" t="s">
        <v>73</v>
      </c>
      <c r="AT98" t="s">
        <v>73</v>
      </c>
      <c r="AU98" t="s">
        <v>73</v>
      </c>
      <c r="AV98" t="s">
        <v>73</v>
      </c>
      <c r="AW98" s="7">
        <v>44979</v>
      </c>
      <c r="BJ98" s="1" t="s">
        <v>186</v>
      </c>
      <c r="BK98" s="7">
        <v>44949</v>
      </c>
      <c r="BO98" s="7">
        <v>44949</v>
      </c>
      <c r="BP98" s="7">
        <v>44949</v>
      </c>
      <c r="BQ98" s="7">
        <v>44949</v>
      </c>
      <c r="BS98" s="7">
        <v>44949</v>
      </c>
    </row>
    <row r="99" spans="2:80" x14ac:dyDescent="0.3">
      <c r="B99" s="50" t="s">
        <v>41</v>
      </c>
      <c r="C99" s="10"/>
      <c r="D99" s="10"/>
      <c r="E99" s="53"/>
      <c r="F99" s="39"/>
      <c r="G99" s="39"/>
      <c r="H99" s="39"/>
      <c r="S99" t="s">
        <v>219</v>
      </c>
    </row>
    <row r="100" spans="2:80" x14ac:dyDescent="0.3">
      <c r="B100" s="48" t="s">
        <v>39</v>
      </c>
      <c r="C100" s="10" t="str">
        <f t="shared" ref="C100:C101" si="4">X106</f>
        <v>1.74,  (1.41 , 1.88), 1</v>
      </c>
      <c r="D100" s="10" t="str">
        <f t="shared" ref="D100:D101" si="5">AB106</f>
        <v>1.55,  (1.01 , 2.61), 1</v>
      </c>
      <c r="E100" s="53"/>
      <c r="F100" s="39"/>
      <c r="G100" s="39"/>
      <c r="H100" s="39"/>
      <c r="R100" s="28" t="s">
        <v>178</v>
      </c>
      <c r="S100" t="s">
        <v>215</v>
      </c>
    </row>
    <row r="101" spans="2:80" x14ac:dyDescent="0.3">
      <c r="B101" s="48" t="s">
        <v>40</v>
      </c>
      <c r="C101" s="10" t="str">
        <f t="shared" si="4"/>
        <v>2.03,  (1.95 , 2.11), 1</v>
      </c>
      <c r="D101" s="10" t="str">
        <f t="shared" si="5"/>
        <v>1.47,  (1.08 , 1.61), 1</v>
      </c>
      <c r="E101" s="53"/>
      <c r="F101" s="39"/>
      <c r="G101" s="39"/>
      <c r="H101" s="39"/>
      <c r="S101" t="s">
        <v>259</v>
      </c>
      <c r="T101" t="s">
        <v>260</v>
      </c>
      <c r="U101" t="s">
        <v>259</v>
      </c>
      <c r="V101" t="s">
        <v>260</v>
      </c>
      <c r="W101" s="28"/>
      <c r="AF101" s="49" t="s">
        <v>74</v>
      </c>
      <c r="BJ101" s="49" t="s">
        <v>74</v>
      </c>
    </row>
    <row r="102" spans="2:80" ht="15" thickBot="1" x14ac:dyDescent="0.35">
      <c r="B102" s="51"/>
      <c r="C102" s="55"/>
      <c r="D102" s="55"/>
      <c r="E102" s="56"/>
      <c r="F102" s="39"/>
      <c r="G102" s="39"/>
      <c r="H102" s="39"/>
      <c r="AF102" s="50" t="s">
        <v>38</v>
      </c>
      <c r="BJ102" s="50" t="s">
        <v>38</v>
      </c>
    </row>
    <row r="103" spans="2:80" x14ac:dyDescent="0.3">
      <c r="P103" t="s">
        <v>233</v>
      </c>
      <c r="Q103">
        <f>_xlfn.T.TEST(AG103:BF103,BK103:CI103,2,2)</f>
        <v>5.6982132667968484E-2</v>
      </c>
      <c r="R103" t="s">
        <v>171</v>
      </c>
      <c r="S103" s="39">
        <v>5</v>
      </c>
      <c r="T103" s="39">
        <v>10</v>
      </c>
      <c r="U103" s="39">
        <v>5</v>
      </c>
      <c r="V103" s="39">
        <v>9</v>
      </c>
      <c r="W103" s="68"/>
      <c r="X103" t="str">
        <f>CONCATENATE(TRUNC(Y103,2), ",  (", TRUNC(Z103,2), " , ", TRUNC(AA103,2), "), ", S103)</f>
        <v>1.89,  (1.26 , 2.12), 5</v>
      </c>
      <c r="Y103">
        <f>MEDIAN(AG103:BF103)</f>
        <v>1.8963994785513201</v>
      </c>
      <c r="Z103">
        <f>_xlfn.PERCENTILE.INC(AG103:BF103, 0.25)</f>
        <v>1.2682005701616701</v>
      </c>
      <c r="AA103">
        <f>_xlfn.PERCENTILE.INC(AG103:BF103, 0.75)</f>
        <v>2.1215017210032299</v>
      </c>
      <c r="AB103" t="str">
        <f>CONCATENATE(TRUNC(AC103,2), ",  (", TRUNC(AD103,2), " , ", TRUNC(AE103,2), "), ", U103)</f>
        <v>3.1,  (2.46 , 3.52), 5</v>
      </c>
      <c r="AC103">
        <f>MEDIAN(BK103:CI103)</f>
        <v>3.1056485719609048</v>
      </c>
      <c r="AD103">
        <f>_xlfn.PERCENTILE.INC(BK103:CI103, 0.25)</f>
        <v>2.4688287167100578</v>
      </c>
      <c r="AE103">
        <f>_xlfn.PERCENTILE.INC(BK103:CI103, 0.75)</f>
        <v>3.5223585732738627</v>
      </c>
      <c r="AF103" s="48" t="s">
        <v>39</v>
      </c>
      <c r="AG103" s="58">
        <v>2.8195488086367302</v>
      </c>
      <c r="AH103" s="59" t="s">
        <v>162</v>
      </c>
      <c r="AI103" s="58">
        <v>1.0353460761712401</v>
      </c>
      <c r="AJ103" s="60">
        <v>1.2682005701616701</v>
      </c>
      <c r="AK103" s="63" t="s">
        <v>162</v>
      </c>
      <c r="AL103" s="59" t="s">
        <v>162</v>
      </c>
      <c r="AM103" s="58" t="s">
        <v>162</v>
      </c>
      <c r="AN103" s="63" t="s">
        <v>162</v>
      </c>
      <c r="AO103" s="61" t="s">
        <v>162</v>
      </c>
      <c r="AP103" s="61" t="s">
        <v>162</v>
      </c>
      <c r="AQ103">
        <v>1.8963994785513201</v>
      </c>
      <c r="AR103" s="58" t="s">
        <v>162</v>
      </c>
      <c r="AS103" s="61" t="s">
        <v>162</v>
      </c>
      <c r="AT103" s="58" t="s">
        <v>162</v>
      </c>
      <c r="AU103" s="58" t="s">
        <v>162</v>
      </c>
      <c r="AV103" s="58" t="s">
        <v>162</v>
      </c>
      <c r="AW103" s="116">
        <v>2.1215017210032299</v>
      </c>
      <c r="BJ103" s="48" t="s">
        <v>39</v>
      </c>
      <c r="BK103" s="58">
        <v>2.2898171326099801</v>
      </c>
      <c r="BL103" s="62" t="s">
        <v>162</v>
      </c>
      <c r="BM103" s="62" t="s">
        <v>162</v>
      </c>
      <c r="BN103" s="60" t="s">
        <v>162</v>
      </c>
      <c r="BO103" s="58">
        <v>4.0945895135836201</v>
      </c>
      <c r="BP103" s="58">
        <v>1.4709913135435499</v>
      </c>
      <c r="BQ103" s="58">
        <v>3.2054336749115202</v>
      </c>
      <c r="BR103" s="62" t="s">
        <v>162</v>
      </c>
      <c r="BS103" s="62" t="s">
        <v>162</v>
      </c>
      <c r="BT103" s="62" t="s">
        <v>162</v>
      </c>
      <c r="BU103" s="62" t="s">
        <v>162</v>
      </c>
      <c r="BV103" s="62" t="s">
        <v>162</v>
      </c>
      <c r="BW103" s="62" t="s">
        <v>162</v>
      </c>
      <c r="BX103" s="59" t="s">
        <v>162</v>
      </c>
      <c r="BY103" s="116">
        <v>3.6280002060613099</v>
      </c>
      <c r="BZ103" s="62" t="s">
        <v>162</v>
      </c>
      <c r="CA103" s="116">
        <v>3.0058634690102899</v>
      </c>
      <c r="CB103" t="s">
        <v>162</v>
      </c>
    </row>
    <row r="104" spans="2:80" x14ac:dyDescent="0.3">
      <c r="P104" t="s">
        <v>173</v>
      </c>
      <c r="Q104">
        <f>_xlfn.T.TEST(AG104:BF104,BK104:CI104,2,2)</f>
        <v>0.57976122016826048</v>
      </c>
      <c r="R104" t="s">
        <v>171</v>
      </c>
      <c r="S104" s="39">
        <v>4</v>
      </c>
      <c r="T104" s="39">
        <v>10</v>
      </c>
      <c r="U104" s="39">
        <v>4</v>
      </c>
      <c r="V104" s="39">
        <v>9</v>
      </c>
      <c r="W104" s="68"/>
      <c r="X104" t="str">
        <f t="shared" ref="X104:X107" si="6">CONCATENATE(TRUNC(Y104,2), ",  (", TRUNC(Z104,2), " , ", TRUNC(AA104,2), "), ", S104)</f>
        <v>1.76,  (1.37 , 1.85), 4</v>
      </c>
      <c r="Y104">
        <f>MEDIAN(AG104:BF104)</f>
        <v>1.7655404843806799</v>
      </c>
      <c r="Z104">
        <f>_xlfn.PERCENTILE.INC(AG104:BF104, 0.25)</f>
        <v>1.37572067569113</v>
      </c>
      <c r="AA104">
        <f>_xlfn.PERCENTILE.INC(AG104:BF104, 0.75)</f>
        <v>1.85086824941409</v>
      </c>
      <c r="AB104" t="str">
        <f t="shared" ref="AB104:AB107" si="7">CONCATENATE(TRUNC(AC104,2), ",  (", TRUNC(AD104,2), " , ", TRUNC(AE104,2), "), ", U104)</f>
        <v>2.13,  (0.98 , 2.37), 4</v>
      </c>
      <c r="AC104">
        <f>MEDIAN(BK104:CI104)</f>
        <v>2.1313729715246401</v>
      </c>
      <c r="AD104">
        <f>_xlfn.PERCENTILE.INC(BK104:CI104, 0.25)</f>
        <v>0.98223465597004855</v>
      </c>
      <c r="AE104">
        <f>_xlfn.PERCENTILE.INC(BK104:CI104, 0.75)</f>
        <v>2.3755160581467152</v>
      </c>
      <c r="AF104" s="48" t="s">
        <v>40</v>
      </c>
      <c r="AG104" s="58">
        <v>1.92065960521003</v>
      </c>
      <c r="AH104" s="59" t="s">
        <v>162</v>
      </c>
      <c r="AI104" s="58">
        <v>1.85086824941409</v>
      </c>
      <c r="AJ104" s="58">
        <v>1.37572067569113</v>
      </c>
      <c r="AK104" s="59" t="s">
        <v>162</v>
      </c>
      <c r="AL104" s="59" t="s">
        <v>162</v>
      </c>
      <c r="AM104" s="58" t="s">
        <v>162</v>
      </c>
      <c r="AN104" s="61" t="s">
        <v>162</v>
      </c>
      <c r="AO104" s="61" t="s">
        <v>162</v>
      </c>
      <c r="AP104" s="61" t="s">
        <v>162</v>
      </c>
      <c r="AQ104">
        <v>1.7655404843806799</v>
      </c>
      <c r="AR104" s="58" t="s">
        <v>162</v>
      </c>
      <c r="AS104" s="61" t="s">
        <v>162</v>
      </c>
      <c r="AT104" s="58" t="s">
        <v>162</v>
      </c>
      <c r="AU104" s="58" t="s">
        <v>162</v>
      </c>
      <c r="AV104" s="58" t="s">
        <v>162</v>
      </c>
      <c r="AW104" s="116">
        <v>0.96979518498437101</v>
      </c>
      <c r="BJ104" s="48" t="s">
        <v>40</v>
      </c>
      <c r="BK104" s="58">
        <v>1.11700846174386</v>
      </c>
      <c r="BL104" s="62" t="s">
        <v>162</v>
      </c>
      <c r="BM104" s="62" t="s">
        <v>162</v>
      </c>
      <c r="BN104" s="62" t="s">
        <v>162</v>
      </c>
      <c r="BO104" s="58">
        <v>2.2407940760098302</v>
      </c>
      <c r="BP104" s="58">
        <v>2.0313435100000001</v>
      </c>
      <c r="BQ104" s="58">
        <v>2.7796820045573698</v>
      </c>
      <c r="BR104" s="62" t="s">
        <v>162</v>
      </c>
      <c r="BS104" s="62" t="s">
        <v>162</v>
      </c>
      <c r="BT104" s="62" t="s">
        <v>162</v>
      </c>
      <c r="BU104" s="62" t="s">
        <v>162</v>
      </c>
      <c r="BV104" s="62" t="s">
        <v>162</v>
      </c>
      <c r="BW104" s="59" t="s">
        <v>162</v>
      </c>
      <c r="BX104" s="58">
        <v>0.57791323864861399</v>
      </c>
      <c r="BY104" s="116">
        <v>3.2902077967872501</v>
      </c>
      <c r="BZ104" s="116">
        <v>0.53421048616304501</v>
      </c>
      <c r="CA104" s="116">
        <v>2.2314024330492801</v>
      </c>
      <c r="CB104" t="s">
        <v>162</v>
      </c>
    </row>
    <row r="105" spans="2:80" x14ac:dyDescent="0.3">
      <c r="AF105" s="50" t="s">
        <v>41</v>
      </c>
      <c r="AN105" s="63" t="s">
        <v>162</v>
      </c>
      <c r="BJ105" s="50" t="s">
        <v>41</v>
      </c>
    </row>
    <row r="106" spans="2:80" x14ac:dyDescent="0.3">
      <c r="P106" t="s">
        <v>172</v>
      </c>
      <c r="Q106">
        <f>_xlfn.T.TEST(AG106:BF106,BK106:CI106,2,2)</f>
        <v>0.78487548785364369</v>
      </c>
      <c r="R106" t="s">
        <v>171</v>
      </c>
      <c r="S106" s="39">
        <v>1</v>
      </c>
      <c r="T106" s="39">
        <v>7</v>
      </c>
      <c r="U106" s="39">
        <v>1</v>
      </c>
      <c r="V106" s="39">
        <v>3</v>
      </c>
      <c r="W106" s="68"/>
      <c r="X106" t="str">
        <f t="shared" si="6"/>
        <v>1.74,  (1.41 , 1.88), 1</v>
      </c>
      <c r="Y106">
        <f>MEDIAN(AG106:BF106)</f>
        <v>1.7405020880969599</v>
      </c>
      <c r="Z106">
        <f>_xlfn.PERCENTILE.INC(AG106:BF106, 0.25)</f>
        <v>1.4161592237265099</v>
      </c>
      <c r="AA106">
        <f>_xlfn.PERCENTILE.INC(AG106:BF106, 0.75)</f>
        <v>1.8837692386865601</v>
      </c>
      <c r="AB106" t="str">
        <f t="shared" si="7"/>
        <v>1.55,  (1.01 , 2.61), 1</v>
      </c>
      <c r="AC106">
        <f>MEDIAN(BK106:CI106)</f>
        <v>1.55389702055308</v>
      </c>
      <c r="AD106">
        <f>_xlfn.PERCENTILE.INC(BK106:CI106, 0.25)</f>
        <v>1.0148573292651475</v>
      </c>
      <c r="AE106">
        <f>_xlfn.PERCENTILE.INC(BK106:CI106, 0.75)</f>
        <v>2.617188223854765</v>
      </c>
      <c r="AF106" s="48" t="s">
        <v>39</v>
      </c>
      <c r="AG106" t="s">
        <v>162</v>
      </c>
      <c r="AH106" t="s">
        <v>162</v>
      </c>
      <c r="AI106" t="s">
        <v>162</v>
      </c>
      <c r="AJ106" t="s">
        <v>162</v>
      </c>
      <c r="AK106" s="59" t="s">
        <v>162</v>
      </c>
      <c r="AL106" s="58">
        <v>1.4161592237265099</v>
      </c>
      <c r="AM106" s="58" t="s">
        <v>162</v>
      </c>
      <c r="AN106" s="58">
        <v>1.7405020880969599</v>
      </c>
      <c r="AO106" s="59" t="s">
        <v>162</v>
      </c>
      <c r="AP106" s="59" t="s">
        <v>162</v>
      </c>
      <c r="AQ106" s="58">
        <v>1.40354475865929</v>
      </c>
      <c r="AR106" s="58" t="s">
        <v>162</v>
      </c>
      <c r="AS106" s="58">
        <v>1.8837692386865601</v>
      </c>
      <c r="AT106" s="58" t="s">
        <v>162</v>
      </c>
      <c r="AU106" s="58" t="s">
        <v>162</v>
      </c>
      <c r="AV106" s="58" t="s">
        <v>162</v>
      </c>
      <c r="AW106" s="116">
        <v>2.2784577091748002</v>
      </c>
      <c r="BJ106" s="48" t="s">
        <v>39</v>
      </c>
      <c r="BK106" t="s">
        <v>162</v>
      </c>
      <c r="BL106" t="s">
        <v>162</v>
      </c>
      <c r="BM106" t="s">
        <v>162</v>
      </c>
      <c r="BN106" t="s">
        <v>162</v>
      </c>
      <c r="BO106" t="s">
        <v>162</v>
      </c>
      <c r="BP106" t="s">
        <v>162</v>
      </c>
      <c r="BQ106" t="s">
        <v>162</v>
      </c>
      <c r="BR106" t="s">
        <v>162</v>
      </c>
      <c r="BS106" s="58">
        <v>0.89316309394488103</v>
      </c>
      <c r="BT106" s="116">
        <v>2.72033210885757</v>
      </c>
      <c r="BU106" s="58">
        <v>2.51404433885196</v>
      </c>
      <c r="BV106" s="58">
        <v>3.4387836114208898</v>
      </c>
      <c r="BW106" s="59" t="s">
        <v>162</v>
      </c>
      <c r="BX106" s="58">
        <v>0.90489098867090501</v>
      </c>
      <c r="BY106" s="59" t="s">
        <v>162</v>
      </c>
      <c r="BZ106" s="116">
        <v>1.1248236698593901</v>
      </c>
      <c r="CA106" s="116">
        <v>1.55389702055308</v>
      </c>
      <c r="CB106" t="s">
        <v>162</v>
      </c>
    </row>
    <row r="107" spans="2:80" x14ac:dyDescent="0.3">
      <c r="P107" t="s">
        <v>172</v>
      </c>
      <c r="Q107">
        <f>_xlfn.T.TEST(AG107:BF107,BK107:CI107,2,2)</f>
        <v>0.24753485956738353</v>
      </c>
      <c r="R107" t="s">
        <v>171</v>
      </c>
      <c r="S107" s="39">
        <v>1</v>
      </c>
      <c r="T107" s="39">
        <v>7</v>
      </c>
      <c r="U107" s="39">
        <v>1</v>
      </c>
      <c r="V107" s="39">
        <v>3</v>
      </c>
      <c r="W107" s="68"/>
      <c r="X107" t="str">
        <f t="shared" si="6"/>
        <v>2.03,  (1.95 , 2.11), 1</v>
      </c>
      <c r="Y107">
        <f>MEDIAN(AG107:BF107)</f>
        <v>2.03522409276863</v>
      </c>
      <c r="Z107">
        <f>_xlfn.PERCENTILE.INC(AG107:BF107, 0.25)</f>
        <v>1.9550138213741151</v>
      </c>
      <c r="AA107">
        <f>_xlfn.PERCENTILE.INC(AG107:BF107, 0.75)</f>
        <v>2.115434364163145</v>
      </c>
      <c r="AB107" t="str">
        <f t="shared" si="7"/>
        <v>1.47,  (1.08 , 1.61), 1</v>
      </c>
      <c r="AC107">
        <f>MEDIAN(BK107:CI107)</f>
        <v>1.47958805400294</v>
      </c>
      <c r="AD107">
        <f>_xlfn.PERCENTILE.INC(BK107:CI107, 0.25)</f>
        <v>1.0890118619621401</v>
      </c>
      <c r="AE107">
        <f>_xlfn.PERCENTILE.INC(BK107:CI107, 0.75)</f>
        <v>1.619084691901935</v>
      </c>
      <c r="AF107" s="48" t="s">
        <v>40</v>
      </c>
      <c r="AG107" t="s">
        <v>162</v>
      </c>
      <c r="AH107" t="s">
        <v>162</v>
      </c>
      <c r="AI107" t="s">
        <v>162</v>
      </c>
      <c r="AJ107" t="s">
        <v>162</v>
      </c>
      <c r="AK107" s="59" t="s">
        <v>162</v>
      </c>
      <c r="AL107" s="59" t="s">
        <v>162</v>
      </c>
      <c r="AM107" s="58" t="s">
        <v>162</v>
      </c>
      <c r="AN107" s="61" t="s">
        <v>162</v>
      </c>
      <c r="AO107" s="59" t="s">
        <v>162</v>
      </c>
      <c r="AP107" s="59" t="s">
        <v>162</v>
      </c>
      <c r="AQ107" s="58">
        <v>1.8748035499796001</v>
      </c>
      <c r="AR107" s="58" t="s">
        <v>162</v>
      </c>
      <c r="AS107" s="61" t="s">
        <v>162</v>
      </c>
      <c r="AT107" s="58" t="s">
        <v>162</v>
      </c>
      <c r="AU107" s="58" t="s">
        <v>162</v>
      </c>
      <c r="AV107" s="58" t="s">
        <v>162</v>
      </c>
      <c r="AW107" s="116">
        <v>2.19564463555766</v>
      </c>
      <c r="BJ107" s="48" t="s">
        <v>40</v>
      </c>
      <c r="BK107" t="s">
        <v>162</v>
      </c>
      <c r="BL107" t="s">
        <v>162</v>
      </c>
      <c r="BM107" t="s">
        <v>162</v>
      </c>
      <c r="BN107" t="s">
        <v>162</v>
      </c>
      <c r="BO107" t="s">
        <v>162</v>
      </c>
      <c r="BP107" t="s">
        <v>162</v>
      </c>
      <c r="BQ107" t="s">
        <v>162</v>
      </c>
      <c r="BR107" t="s">
        <v>162</v>
      </c>
      <c r="BS107" s="58">
        <v>0.52535944249941502</v>
      </c>
      <c r="BT107" s="116">
        <v>1.35482418737221</v>
      </c>
      <c r="BU107" s="58">
        <v>1.70075307373037</v>
      </c>
      <c r="BV107" s="58">
        <v>2.5404880981468598</v>
      </c>
      <c r="BW107" s="62" t="s">
        <v>162</v>
      </c>
      <c r="BX107" s="58">
        <v>1.47958805400294</v>
      </c>
      <c r="BY107" s="58">
        <v>0.82319953655207001</v>
      </c>
      <c r="BZ107" s="59" t="s">
        <v>162</v>
      </c>
      <c r="CA107" s="116">
        <v>1.5374163100735001</v>
      </c>
      <c r="CB107" t="s">
        <v>162</v>
      </c>
    </row>
    <row r="108" spans="2:80" x14ac:dyDescent="0.3">
      <c r="AQ108" t="s">
        <v>231</v>
      </c>
    </row>
  </sheetData>
  <mergeCells count="8">
    <mergeCell ref="B62:D62"/>
    <mergeCell ref="B63:D63"/>
    <mergeCell ref="C15:D15"/>
    <mergeCell ref="E15:F15"/>
    <mergeCell ref="C25:D25"/>
    <mergeCell ref="E25:F25"/>
    <mergeCell ref="B50:D50"/>
    <mergeCell ref="B51:D51"/>
  </mergeCells>
  <pageMargins left="0.7" right="0.7" top="0.75" bottom="0.75" header="0.3" footer="0.3"/>
  <pageSetup scale="1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CCB78-A863-4A7F-A5ED-FDEA1340C751}">
  <sheetPr>
    <pageSetUpPr fitToPage="1"/>
  </sheetPr>
  <dimension ref="B1:CM107"/>
  <sheetViews>
    <sheetView zoomScale="85" zoomScaleNormal="85" workbookViewId="0">
      <pane xSplit="2" ySplit="7" topLeftCell="C9" activePane="bottomRight" state="frozen"/>
      <selection pane="topRight" activeCell="B1" sqref="B1"/>
      <selection pane="bottomLeft" activeCell="H30" sqref="H30"/>
      <selection pane="bottomRight" activeCell="H24" sqref="H24"/>
    </sheetView>
  </sheetViews>
  <sheetFormatPr defaultRowHeight="14.4" x14ac:dyDescent="0.3"/>
  <cols>
    <col min="1" max="1" width="5.44140625" customWidth="1"/>
    <col min="2" max="2" width="25.5546875" customWidth="1"/>
    <col min="3" max="3" width="20.88671875" customWidth="1"/>
    <col min="4" max="4" width="22.44140625" customWidth="1"/>
    <col min="5" max="8" width="22.6640625" customWidth="1"/>
    <col min="9" max="9" width="22.44140625" customWidth="1"/>
    <col min="10" max="11" width="22.6640625" customWidth="1"/>
    <col min="12" max="12" width="12.6640625" customWidth="1"/>
    <col min="13" max="13" width="18.6640625" customWidth="1"/>
    <col min="14" max="14" width="12.6640625" customWidth="1"/>
    <col min="15" max="15" width="27.6640625" customWidth="1"/>
    <col min="16" max="17" width="12.6640625" customWidth="1"/>
    <col min="18" max="18" width="32.88671875" customWidth="1"/>
    <col min="19" max="23" width="12.6640625" customWidth="1"/>
    <col min="24" max="24" width="26" customWidth="1"/>
    <col min="25" max="27" width="12.6640625" customWidth="1"/>
    <col min="28" max="28" width="26.109375" customWidth="1"/>
    <col min="29" max="31" width="12.6640625" customWidth="1"/>
    <col min="32" max="32" width="28.33203125" customWidth="1"/>
    <col min="33" max="61" width="12.6640625" customWidth="1"/>
    <col min="62" max="62" width="23.109375" customWidth="1"/>
    <col min="63" max="90" width="12.6640625" customWidth="1"/>
  </cols>
  <sheetData>
    <row r="1" spans="2:91" x14ac:dyDescent="0.3">
      <c r="B1" t="s">
        <v>42</v>
      </c>
      <c r="L1" s="11" t="s">
        <v>47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2"/>
      <c r="Z1" s="12"/>
      <c r="AA1" s="12"/>
      <c r="AB1" s="12"/>
      <c r="AC1" s="12"/>
      <c r="AD1" s="12"/>
      <c r="AE1" s="12"/>
      <c r="AG1" s="13" t="s">
        <v>48</v>
      </c>
      <c r="AH1" s="13"/>
      <c r="AI1" s="13"/>
      <c r="AJ1" s="13"/>
    </row>
    <row r="2" spans="2:91" x14ac:dyDescent="0.3">
      <c r="B2" s="7">
        <v>44995</v>
      </c>
    </row>
    <row r="3" spans="2:91" x14ac:dyDescent="0.3">
      <c r="AG3" s="14"/>
      <c r="AH3" s="15" t="s">
        <v>49</v>
      </c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J3" s="16"/>
      <c r="BK3" s="17"/>
      <c r="BL3" s="17"/>
      <c r="BM3" s="17"/>
      <c r="BN3" s="17"/>
      <c r="BO3" s="18" t="s">
        <v>50</v>
      </c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</row>
    <row r="4" spans="2:91" x14ac:dyDescent="0.3">
      <c r="BJ4" s="16"/>
    </row>
    <row r="5" spans="2:91" ht="43.2" x14ac:dyDescent="0.3">
      <c r="I5" s="1"/>
      <c r="J5" s="1"/>
      <c r="AF5" s="1" t="s">
        <v>96</v>
      </c>
      <c r="AG5" s="1" t="s">
        <v>51</v>
      </c>
      <c r="AH5" s="1" t="s">
        <v>52</v>
      </c>
      <c r="AI5" s="1" t="s">
        <v>53</v>
      </c>
      <c r="AJ5" s="1" t="s">
        <v>54</v>
      </c>
      <c r="AK5" s="1" t="s">
        <v>55</v>
      </c>
      <c r="AL5" s="1" t="s">
        <v>56</v>
      </c>
      <c r="AM5" s="1" t="s">
        <v>97</v>
      </c>
      <c r="AN5" s="29" t="s">
        <v>98</v>
      </c>
      <c r="AO5" s="29" t="s">
        <v>99</v>
      </c>
      <c r="AP5" s="29" t="s">
        <v>100</v>
      </c>
      <c r="AQ5" s="29" t="s">
        <v>101</v>
      </c>
      <c r="AR5" s="29" t="s">
        <v>102</v>
      </c>
      <c r="AS5" s="29" t="s">
        <v>103</v>
      </c>
      <c r="AT5" s="29" t="s">
        <v>104</v>
      </c>
      <c r="AU5" s="1" t="s">
        <v>105</v>
      </c>
      <c r="AV5" s="1" t="s">
        <v>106</v>
      </c>
      <c r="AW5" s="1" t="s">
        <v>107</v>
      </c>
      <c r="AX5" s="1" t="s">
        <v>108</v>
      </c>
      <c r="AY5" s="1" t="s">
        <v>109</v>
      </c>
      <c r="AZ5" s="1" t="s">
        <v>110</v>
      </c>
      <c r="BA5" s="1" t="s">
        <v>111</v>
      </c>
      <c r="BB5" s="1" t="s">
        <v>112</v>
      </c>
      <c r="BC5" s="1" t="s">
        <v>113</v>
      </c>
      <c r="BD5" s="1" t="s">
        <v>114</v>
      </c>
      <c r="BE5" s="1" t="s">
        <v>115</v>
      </c>
      <c r="BF5" s="1" t="s">
        <v>116</v>
      </c>
      <c r="BG5" s="1"/>
      <c r="BI5" s="30" t="s">
        <v>117</v>
      </c>
      <c r="BJ5" s="16"/>
      <c r="BS5" s="29" t="s">
        <v>118</v>
      </c>
      <c r="BT5" s="31" t="s">
        <v>119</v>
      </c>
      <c r="BU5" s="31" t="s">
        <v>120</v>
      </c>
      <c r="BV5" s="31" t="s">
        <v>121</v>
      </c>
      <c r="BW5" s="32" t="s">
        <v>122</v>
      </c>
      <c r="BX5" s="32" t="s">
        <v>123</v>
      </c>
      <c r="BY5" s="33" t="s">
        <v>124</v>
      </c>
      <c r="BZ5" s="33" t="s">
        <v>125</v>
      </c>
      <c r="CA5" s="31" t="s">
        <v>268</v>
      </c>
      <c r="CB5" s="92" t="s">
        <v>269</v>
      </c>
      <c r="CC5" s="33" t="s">
        <v>128</v>
      </c>
      <c r="CD5" s="33" t="s">
        <v>129</v>
      </c>
      <c r="CE5" s="33" t="s">
        <v>130</v>
      </c>
      <c r="CF5" s="33" t="s">
        <v>131</v>
      </c>
      <c r="CG5" s="33" t="s">
        <v>132</v>
      </c>
      <c r="CH5" s="33" t="s">
        <v>133</v>
      </c>
      <c r="CI5" s="33" t="s">
        <v>134</v>
      </c>
    </row>
    <row r="6" spans="2:91" ht="28.8" x14ac:dyDescent="0.3">
      <c r="P6" s="38" t="s">
        <v>163</v>
      </c>
      <c r="AF6" t="s">
        <v>135</v>
      </c>
      <c r="AL6" s="1" t="s">
        <v>136</v>
      </c>
      <c r="AM6" s="1" t="s">
        <v>137</v>
      </c>
      <c r="AN6" s="1"/>
      <c r="AO6" s="1" t="s">
        <v>138</v>
      </c>
      <c r="AP6" s="1" t="s">
        <v>139</v>
      </c>
      <c r="AQ6" s="19" t="s">
        <v>61</v>
      </c>
      <c r="AR6" s="34" t="s">
        <v>62</v>
      </c>
      <c r="AS6" s="19" t="s">
        <v>140</v>
      </c>
      <c r="AT6" s="34" t="s">
        <v>141</v>
      </c>
      <c r="BI6">
        <v>12</v>
      </c>
      <c r="BJ6" s="16"/>
    </row>
    <row r="7" spans="2:91" s="24" customFormat="1" ht="28.8" x14ac:dyDescent="0.3">
      <c r="H7" s="28" t="s">
        <v>317</v>
      </c>
      <c r="I7" s="28" t="s">
        <v>320</v>
      </c>
      <c r="L7" s="28" t="s">
        <v>158</v>
      </c>
      <c r="M7" s="1" t="s">
        <v>240</v>
      </c>
      <c r="N7" t="s">
        <v>241</v>
      </c>
      <c r="O7" t="s">
        <v>8</v>
      </c>
      <c r="P7" s="28" t="s">
        <v>158</v>
      </c>
      <c r="Q7" t="s">
        <v>43</v>
      </c>
      <c r="R7" t="s">
        <v>164</v>
      </c>
      <c r="S7" s="15" t="s">
        <v>49</v>
      </c>
      <c r="T7" s="15"/>
      <c r="U7" s="18" t="s">
        <v>50</v>
      </c>
      <c r="V7" s="18"/>
      <c r="W7"/>
      <c r="X7" s="14"/>
      <c r="Y7" s="15" t="s">
        <v>49</v>
      </c>
      <c r="Z7" s="14"/>
      <c r="AA7" s="14"/>
      <c r="AB7" s="17"/>
      <c r="AC7" s="18" t="s">
        <v>50</v>
      </c>
      <c r="AD7" s="17"/>
      <c r="AE7" s="17"/>
      <c r="AF7" s="1" t="s">
        <v>377</v>
      </c>
      <c r="AG7" s="19" t="s">
        <v>51</v>
      </c>
      <c r="AH7" s="20" t="s">
        <v>52</v>
      </c>
      <c r="AI7" s="19" t="s">
        <v>53</v>
      </c>
      <c r="AJ7" s="19" t="s">
        <v>54</v>
      </c>
      <c r="AK7" s="35" t="s">
        <v>55</v>
      </c>
      <c r="AL7" s="35" t="s">
        <v>56</v>
      </c>
      <c r="AM7" s="20" t="s">
        <v>57</v>
      </c>
      <c r="AN7" s="35" t="s">
        <v>58</v>
      </c>
      <c r="AO7" s="20" t="s">
        <v>59</v>
      </c>
      <c r="AP7" s="35" t="s">
        <v>60</v>
      </c>
      <c r="AQ7" s="19" t="s">
        <v>61</v>
      </c>
      <c r="AR7" t="s">
        <v>143</v>
      </c>
      <c r="AS7" s="19" t="s">
        <v>62</v>
      </c>
      <c r="AT7" t="s">
        <v>143</v>
      </c>
      <c r="AU7" s="34" t="s">
        <v>105</v>
      </c>
      <c r="AV7" s="34" t="s">
        <v>106</v>
      </c>
      <c r="AW7" s="19" t="s">
        <v>266</v>
      </c>
      <c r="AX7" s="1"/>
      <c r="AY7" s="1"/>
      <c r="AZ7" s="1"/>
      <c r="BA7" s="1"/>
      <c r="BB7" s="1"/>
      <c r="BC7" s="1"/>
      <c r="BD7" s="1"/>
      <c r="BE7" s="1"/>
      <c r="BF7" s="1"/>
      <c r="BG7"/>
      <c r="BH7" s="1"/>
      <c r="BI7" s="1"/>
      <c r="BJ7" s="21"/>
      <c r="BK7" s="19" t="s">
        <v>63</v>
      </c>
      <c r="BL7" s="19" t="s">
        <v>64</v>
      </c>
      <c r="BM7" s="36" t="s">
        <v>65</v>
      </c>
      <c r="BN7" s="22" t="s">
        <v>66</v>
      </c>
      <c r="BO7" s="19" t="s">
        <v>67</v>
      </c>
      <c r="BP7" s="36" t="s">
        <v>68</v>
      </c>
      <c r="BQ7" s="19" t="s">
        <v>69</v>
      </c>
      <c r="BR7" s="19" t="s">
        <v>70</v>
      </c>
      <c r="BS7" s="19" t="s">
        <v>71</v>
      </c>
      <c r="BT7" s="31" t="s">
        <v>119</v>
      </c>
      <c r="BU7" s="31" t="s">
        <v>120</v>
      </c>
      <c r="BV7" s="31" t="s">
        <v>121</v>
      </c>
      <c r="BW7" s="32" t="s">
        <v>122</v>
      </c>
      <c r="BX7" s="32" t="s">
        <v>123</v>
      </c>
      <c r="BY7" s="31" t="s">
        <v>258</v>
      </c>
      <c r="BZ7" s="31" t="s">
        <v>267</v>
      </c>
      <c r="CA7" s="31" t="s">
        <v>268</v>
      </c>
      <c r="CB7" s="92" t="s">
        <v>269</v>
      </c>
      <c r="CC7" s="33" t="s">
        <v>128</v>
      </c>
      <c r="CD7" s="33" t="s">
        <v>129</v>
      </c>
      <c r="CE7" s="33" t="s">
        <v>130</v>
      </c>
      <c r="CF7" s="33" t="s">
        <v>131</v>
      </c>
      <c r="CG7" s="33" t="s">
        <v>132</v>
      </c>
      <c r="CH7" s="33" t="s">
        <v>133</v>
      </c>
      <c r="CI7" s="33" t="s">
        <v>134</v>
      </c>
      <c r="CJ7"/>
      <c r="CK7"/>
      <c r="CL7"/>
      <c r="CM7"/>
    </row>
    <row r="8" spans="2:91" ht="25.8" x14ac:dyDescent="0.5">
      <c r="E8" s="94" t="s">
        <v>282</v>
      </c>
      <c r="F8" s="73"/>
      <c r="G8" s="73"/>
      <c r="H8" s="73"/>
      <c r="AF8" s="1" t="s">
        <v>187</v>
      </c>
      <c r="AG8" t="s">
        <v>188</v>
      </c>
      <c r="AH8" t="s">
        <v>189</v>
      </c>
      <c r="AI8" t="s">
        <v>190</v>
      </c>
      <c r="AJ8" t="s">
        <v>191</v>
      </c>
      <c r="AK8" t="s">
        <v>192</v>
      </c>
      <c r="AL8" t="s">
        <v>193</v>
      </c>
      <c r="AM8" t="s">
        <v>194</v>
      </c>
      <c r="AN8" t="s">
        <v>194</v>
      </c>
      <c r="AO8" t="s">
        <v>195</v>
      </c>
      <c r="AP8" t="s">
        <v>196</v>
      </c>
      <c r="AQ8" t="s">
        <v>197</v>
      </c>
      <c r="AR8" t="s">
        <v>198</v>
      </c>
      <c r="AS8" t="s">
        <v>199</v>
      </c>
      <c r="AT8" t="s">
        <v>200</v>
      </c>
      <c r="AW8" t="s">
        <v>378</v>
      </c>
      <c r="BK8" t="s">
        <v>202</v>
      </c>
      <c r="BL8" t="s">
        <v>198</v>
      </c>
      <c r="BM8" t="s">
        <v>203</v>
      </c>
      <c r="BN8" t="s">
        <v>204</v>
      </c>
      <c r="BO8" t="s">
        <v>205</v>
      </c>
      <c r="BP8" t="s">
        <v>206</v>
      </c>
      <c r="BQ8" t="s">
        <v>207</v>
      </c>
      <c r="BR8" t="s">
        <v>208</v>
      </c>
      <c r="BS8" t="s">
        <v>209</v>
      </c>
      <c r="BT8" t="s">
        <v>210</v>
      </c>
      <c r="BU8" t="s">
        <v>379</v>
      </c>
      <c r="BV8" t="s">
        <v>203</v>
      </c>
      <c r="BW8" t="s">
        <v>213</v>
      </c>
      <c r="BX8" t="s">
        <v>211</v>
      </c>
      <c r="BY8" t="s">
        <v>380</v>
      </c>
      <c r="BZ8" t="s">
        <v>381</v>
      </c>
      <c r="CA8" t="s">
        <v>382</v>
      </c>
      <c r="CB8" t="s">
        <v>383</v>
      </c>
      <c r="CC8" t="s">
        <v>384</v>
      </c>
      <c r="CD8" t="s">
        <v>385</v>
      </c>
      <c r="CE8" t="s">
        <v>386</v>
      </c>
    </row>
    <row r="9" spans="2:91" ht="23.4" x14ac:dyDescent="0.45">
      <c r="B9" t="s">
        <v>316</v>
      </c>
      <c r="C9" s="7">
        <f>B2</f>
        <v>44995</v>
      </c>
      <c r="E9" s="94" t="s">
        <v>315</v>
      </c>
      <c r="AF9" s="48" t="s">
        <v>72</v>
      </c>
      <c r="AG9">
        <v>150</v>
      </c>
      <c r="AH9" t="s">
        <v>162</v>
      </c>
      <c r="AI9">
        <v>126</v>
      </c>
      <c r="AJ9">
        <v>131</v>
      </c>
      <c r="AK9">
        <v>178</v>
      </c>
      <c r="AL9">
        <v>118</v>
      </c>
      <c r="AM9" t="s">
        <v>162</v>
      </c>
      <c r="AN9">
        <v>224</v>
      </c>
      <c r="AO9" t="s">
        <v>162</v>
      </c>
      <c r="AP9" t="s">
        <v>162</v>
      </c>
      <c r="AQ9">
        <v>130</v>
      </c>
      <c r="AR9" s="27" t="s">
        <v>162</v>
      </c>
      <c r="AS9">
        <v>177</v>
      </c>
      <c r="AT9" s="27" t="s">
        <v>162</v>
      </c>
      <c r="AU9" s="27" t="s">
        <v>162</v>
      </c>
      <c r="AV9" s="27" t="s">
        <v>162</v>
      </c>
      <c r="AW9">
        <v>151</v>
      </c>
      <c r="BK9">
        <v>127</v>
      </c>
      <c r="BL9">
        <v>85</v>
      </c>
      <c r="BM9">
        <v>88</v>
      </c>
      <c r="BN9" t="s">
        <v>162</v>
      </c>
      <c r="BO9">
        <v>134</v>
      </c>
      <c r="BP9">
        <v>111</v>
      </c>
      <c r="BQ9" s="27">
        <v>114</v>
      </c>
      <c r="BR9" s="1">
        <v>81</v>
      </c>
      <c r="BS9">
        <v>161</v>
      </c>
      <c r="BT9">
        <v>104</v>
      </c>
      <c r="BU9">
        <v>142</v>
      </c>
      <c r="BV9">
        <v>88</v>
      </c>
      <c r="BW9">
        <v>180</v>
      </c>
      <c r="BX9">
        <v>142</v>
      </c>
      <c r="BY9">
        <v>143</v>
      </c>
      <c r="BZ9">
        <v>189</v>
      </c>
      <c r="CA9">
        <v>148</v>
      </c>
      <c r="CB9" t="s">
        <v>162</v>
      </c>
    </row>
    <row r="10" spans="2:91" ht="28.8" x14ac:dyDescent="0.3">
      <c r="S10" s="38" t="s">
        <v>218</v>
      </c>
      <c r="T10" s="38"/>
      <c r="U10" s="38"/>
      <c r="V10" s="38"/>
      <c r="W10" s="38"/>
      <c r="X10" s="28" t="s">
        <v>158</v>
      </c>
      <c r="Y10" s="28" t="s">
        <v>147</v>
      </c>
      <c r="Z10" s="28" t="s">
        <v>156</v>
      </c>
      <c r="AA10" s="28" t="s">
        <v>157</v>
      </c>
      <c r="AB10" s="28" t="s">
        <v>158</v>
      </c>
      <c r="AC10" s="28" t="s">
        <v>147</v>
      </c>
      <c r="AD10" s="28" t="s">
        <v>156</v>
      </c>
      <c r="AE10" s="28" t="s">
        <v>157</v>
      </c>
      <c r="AG10" s="28" t="s">
        <v>178</v>
      </c>
      <c r="AH10" t="s">
        <v>215</v>
      </c>
    </row>
    <row r="11" spans="2:91" ht="23.4" x14ac:dyDescent="0.45">
      <c r="B11" t="s">
        <v>355</v>
      </c>
      <c r="D11" s="94" t="s">
        <v>315</v>
      </c>
      <c r="S11" t="s">
        <v>219</v>
      </c>
      <c r="X11" t="s">
        <v>220</v>
      </c>
      <c r="AG11" t="s">
        <v>177</v>
      </c>
      <c r="AH11" t="s">
        <v>176</v>
      </c>
    </row>
    <row r="12" spans="2:91" x14ac:dyDescent="0.3">
      <c r="R12" s="28" t="s">
        <v>178</v>
      </c>
      <c r="S12" t="s">
        <v>215</v>
      </c>
      <c r="X12" t="s">
        <v>220</v>
      </c>
      <c r="AH12" t="s">
        <v>179</v>
      </c>
    </row>
    <row r="13" spans="2:91" ht="15" thickBot="1" x14ac:dyDescent="0.35">
      <c r="S13" t="s">
        <v>259</v>
      </c>
      <c r="T13" t="s">
        <v>260</v>
      </c>
      <c r="U13" t="s">
        <v>259</v>
      </c>
      <c r="V13" t="s">
        <v>260</v>
      </c>
      <c r="W13" s="28"/>
      <c r="AF13" s="49" t="s">
        <v>74</v>
      </c>
      <c r="BJ13" s="49" t="s">
        <v>74</v>
      </c>
    </row>
    <row r="14" spans="2:91" x14ac:dyDescent="0.3">
      <c r="B14" s="75"/>
      <c r="C14" s="181" t="s">
        <v>310</v>
      </c>
      <c r="D14" s="182"/>
      <c r="E14" s="173" t="s">
        <v>41</v>
      </c>
      <c r="F14" s="174"/>
      <c r="AF14" s="50" t="s">
        <v>38</v>
      </c>
      <c r="BJ14" s="50" t="s">
        <v>38</v>
      </c>
    </row>
    <row r="15" spans="2:91" x14ac:dyDescent="0.3">
      <c r="B15" s="84"/>
      <c r="C15" s="8" t="s">
        <v>375</v>
      </c>
      <c r="D15" s="110" t="s">
        <v>308</v>
      </c>
      <c r="E15" s="8" t="s">
        <v>375</v>
      </c>
      <c r="F15" s="91" t="s">
        <v>308</v>
      </c>
      <c r="O15" t="s">
        <v>261</v>
      </c>
      <c r="P15" t="s">
        <v>217</v>
      </c>
      <c r="Q15">
        <f>_xlfn.T.TEST(AG15:BF15,BK15:CI15,2,2)</f>
        <v>6.4973818541018843E-2</v>
      </c>
      <c r="R15" t="s">
        <v>171</v>
      </c>
      <c r="S15" s="39">
        <v>6</v>
      </c>
      <c r="T15" s="39">
        <v>10</v>
      </c>
      <c r="U15" s="39">
        <v>9</v>
      </c>
      <c r="V15" s="39">
        <v>9</v>
      </c>
      <c r="W15" s="68"/>
      <c r="X15" t="str">
        <f>CONCATENATE(TRUNC(Y15,2), ",  (", TRUNC(Z15,2), " , ", TRUNC(AA15,2), "), ", S15)</f>
        <v>1.74,  (1.36 , 2), 6</v>
      </c>
      <c r="Y15">
        <f>MEDIAN(AG15:BF15)</f>
        <v>1.7467039263304101</v>
      </c>
      <c r="Z15">
        <f>_xlfn.PERCENTILE.INC(AG15:BF15, 0.25)</f>
        <v>1.3684095030423551</v>
      </c>
      <c r="AA15">
        <f>_xlfn.PERCENTILE.INC(AG15:BF15, 0.75)</f>
        <v>2.008950599777275</v>
      </c>
      <c r="AB15" t="str">
        <f>CONCATENATE(TRUNC(AC15,2), ",  (", TRUNC(AD15,2), " , ", TRUNC(AE15,2), "), ", U15)</f>
        <v>3.01,  (1.73 , 3.39), 9</v>
      </c>
      <c r="AC15">
        <f>MEDIAN(BK15:CI15)</f>
        <v>3.0185355998543599</v>
      </c>
      <c r="AD15">
        <f>_xlfn.PERCENTILE.INC(BK15:CI15, 0.25)</f>
        <v>1.73912065804975</v>
      </c>
      <c r="AE15">
        <f>_xlfn.PERCENTILE.INC(BK15:CI15, 0.75)</f>
        <v>3.3962075446698101</v>
      </c>
      <c r="AF15" s="48" t="s">
        <v>39</v>
      </c>
      <c r="AG15" s="115">
        <v>2.8195488086367302</v>
      </c>
      <c r="AH15" s="59" t="s">
        <v>162</v>
      </c>
      <c r="AI15" s="58">
        <v>1.0353460761712401</v>
      </c>
      <c r="AJ15" s="115">
        <v>1.2682005701616701</v>
      </c>
      <c r="AK15" s="58">
        <v>1.4686184359230401</v>
      </c>
      <c r="AL15" s="59" t="s">
        <v>162</v>
      </c>
      <c r="AM15" s="58" t="s">
        <v>162</v>
      </c>
      <c r="AN15">
        <v>1.7467039263304101</v>
      </c>
      <c r="AO15" s="61" t="s">
        <v>162</v>
      </c>
      <c r="AP15" s="61" t="s">
        <v>162</v>
      </c>
      <c r="AQ15">
        <v>1.8963994785513201</v>
      </c>
      <c r="AR15" s="58" t="s">
        <v>162</v>
      </c>
      <c r="AS15" s="61" t="s">
        <v>162</v>
      </c>
      <c r="AT15" s="58" t="s">
        <v>162</v>
      </c>
      <c r="AU15" s="58" t="s">
        <v>162</v>
      </c>
      <c r="AV15" s="58" t="s">
        <v>162</v>
      </c>
      <c r="AW15" s="116">
        <v>2.1215017210032299</v>
      </c>
      <c r="BJ15" s="48" t="s">
        <v>39</v>
      </c>
      <c r="BK15" s="58">
        <v>2.2898171326099801</v>
      </c>
      <c r="BL15" s="58">
        <v>3.3007979309730899</v>
      </c>
      <c r="BM15" s="117">
        <v>1.5905242855573101</v>
      </c>
      <c r="BN15" s="59" t="s">
        <v>162</v>
      </c>
      <c r="BO15" s="58">
        <v>4.0945895135836201</v>
      </c>
      <c r="BP15" s="117">
        <v>1.4709913135435499</v>
      </c>
      <c r="BQ15" s="58">
        <v>3.2054336749115202</v>
      </c>
      <c r="BR15" s="58">
        <v>3.0185355998543599</v>
      </c>
      <c r="BS15" s="58">
        <v>3.2576969564125502</v>
      </c>
      <c r="BT15" s="58">
        <v>4.4483988255018403</v>
      </c>
      <c r="BU15" s="58">
        <v>1.88771703054219</v>
      </c>
      <c r="BV15" s="58">
        <v>3.4916171583665299</v>
      </c>
      <c r="BW15" s="117">
        <v>0.76755829073625303</v>
      </c>
      <c r="BX15" s="59" t="s">
        <v>162</v>
      </c>
      <c r="BY15" s="116">
        <v>3.6280002060613099</v>
      </c>
      <c r="BZ15" s="118">
        <v>0.73074071147375796</v>
      </c>
      <c r="CA15" s="116">
        <v>3.0058634690102899</v>
      </c>
      <c r="CB15" t="s">
        <v>162</v>
      </c>
    </row>
    <row r="16" spans="2:91" ht="15" customHeight="1" x14ac:dyDescent="0.3">
      <c r="B16" s="76" t="s">
        <v>3</v>
      </c>
      <c r="C16" s="102" t="s">
        <v>360</v>
      </c>
      <c r="D16" s="111" t="s">
        <v>361</v>
      </c>
      <c r="E16" s="108" t="s">
        <v>362</v>
      </c>
      <c r="F16" s="103" t="s">
        <v>363</v>
      </c>
      <c r="H16" s="99">
        <v>44629</v>
      </c>
      <c r="I16" t="s">
        <v>374</v>
      </c>
      <c r="P16" t="s">
        <v>173</v>
      </c>
      <c r="Q16">
        <f>_xlfn.T.TEST(AG16:BF16,BK16:CI16,2,2)</f>
        <v>0.55317750995592396</v>
      </c>
      <c r="R16" t="s">
        <v>171</v>
      </c>
      <c r="S16" s="39">
        <v>4</v>
      </c>
      <c r="T16" s="39">
        <v>10</v>
      </c>
      <c r="U16" s="39">
        <v>9</v>
      </c>
      <c r="V16" s="39">
        <v>9</v>
      </c>
      <c r="W16" s="68"/>
      <c r="X16" t="str">
        <f t="shared" ref="X16:X21" si="0">CONCATENATE(TRUNC(Y16,2), ",  (", TRUNC(Z16,2), " , ", TRUNC(AA16,2), "), ", S16)</f>
        <v>1.76,  (1.37 , 1.85), 4</v>
      </c>
      <c r="Y16">
        <f>MEDIAN(AG16:BF16)</f>
        <v>1.7655404843806799</v>
      </c>
      <c r="Z16">
        <f>_xlfn.PERCENTILE.INC(AG16:BF16, 0.25)</f>
        <v>1.37572067569113</v>
      </c>
      <c r="AA16">
        <f>_xlfn.PERCENTILE.INC(AG16:BF16, 0.75)</f>
        <v>1.85086824941409</v>
      </c>
      <c r="AB16" t="str">
        <f t="shared" ref="AB16:AB21" si="1">CONCATENATE(TRUNC(AC16,2), ",  (", TRUNC(AD16,2), " , ", TRUNC(AE16,2), "), ", U16)</f>
        <v>1.82,  (1.19 , 2.49), 9</v>
      </c>
      <c r="AC16">
        <f>MEDIAN(BK16:CI16)</f>
        <v>1.8226959602389401</v>
      </c>
      <c r="AD16">
        <f>_xlfn.PERCENTILE.INC(BK16:CI16, 0.25)</f>
        <v>1.19484800087193</v>
      </c>
      <c r="AE16">
        <f>_xlfn.PERCENTILE.INC(BK16:CI16, 0.75)</f>
        <v>2.4915994461092952</v>
      </c>
      <c r="AF16" s="48" t="s">
        <v>40</v>
      </c>
      <c r="AG16" s="58">
        <v>1.92065960521003</v>
      </c>
      <c r="AH16" s="59" t="s">
        <v>162</v>
      </c>
      <c r="AI16" s="58">
        <v>1.85086824941409</v>
      </c>
      <c r="AJ16" s="58">
        <v>1.37572067569113</v>
      </c>
      <c r="AK16" s="59" t="s">
        <v>162</v>
      </c>
      <c r="AL16" s="59" t="s">
        <v>162</v>
      </c>
      <c r="AM16" s="58" t="s">
        <v>162</v>
      </c>
      <c r="AN16" s="61" t="s">
        <v>162</v>
      </c>
      <c r="AO16" s="61" t="s">
        <v>162</v>
      </c>
      <c r="AP16" s="61" t="s">
        <v>162</v>
      </c>
      <c r="AQ16">
        <v>1.7655404843806799</v>
      </c>
      <c r="AR16" s="58" t="s">
        <v>162</v>
      </c>
      <c r="AS16" s="61" t="s">
        <v>162</v>
      </c>
      <c r="AT16" s="58" t="s">
        <v>162</v>
      </c>
      <c r="AU16" s="58" t="s">
        <v>162</v>
      </c>
      <c r="AV16" s="58" t="s">
        <v>162</v>
      </c>
      <c r="AW16" s="116">
        <v>0.96979518498437101</v>
      </c>
      <c r="BJ16" s="48" t="s">
        <v>40</v>
      </c>
      <c r="BK16" s="58">
        <v>1.11700846174386</v>
      </c>
      <c r="BL16" s="58">
        <v>1.6979104140009</v>
      </c>
      <c r="BM16" s="58">
        <v>1.27268754</v>
      </c>
      <c r="BN16" s="62" t="s">
        <v>162</v>
      </c>
      <c r="BO16" s="58">
        <v>2.2407940760098302</v>
      </c>
      <c r="BP16" s="58">
        <v>2.0313435100000001</v>
      </c>
      <c r="BQ16" s="58">
        <v>2.7796820045573698</v>
      </c>
      <c r="BR16" s="58">
        <v>1.8226959602389401</v>
      </c>
      <c r="BS16" s="58">
        <v>0.78493182229421399</v>
      </c>
      <c r="BT16" s="58">
        <v>2.7424048162087602</v>
      </c>
      <c r="BU16" s="58">
        <v>1.3292759875917299</v>
      </c>
      <c r="BV16" s="58">
        <v>2.9433935976079</v>
      </c>
      <c r="BW16" s="59" t="s">
        <v>162</v>
      </c>
      <c r="BX16" s="58">
        <v>0.57791323864861399</v>
      </c>
      <c r="BY16" s="116">
        <v>3.2902077967872501</v>
      </c>
      <c r="BZ16" s="116">
        <v>0.53421048616304501</v>
      </c>
      <c r="CA16" s="116">
        <v>2.2314024330492801</v>
      </c>
      <c r="CB16" t="s">
        <v>162</v>
      </c>
    </row>
    <row r="17" spans="2:80" ht="15" customHeight="1" thickBot="1" x14ac:dyDescent="0.35">
      <c r="B17" s="51" t="s">
        <v>292</v>
      </c>
      <c r="C17" s="104" t="s">
        <v>340</v>
      </c>
      <c r="D17" s="112" t="s">
        <v>341</v>
      </c>
      <c r="E17" s="109" t="s">
        <v>349</v>
      </c>
      <c r="F17" s="105" t="s">
        <v>364</v>
      </c>
      <c r="H17" s="99">
        <v>44629</v>
      </c>
      <c r="I17" t="s">
        <v>357</v>
      </c>
      <c r="AF17" s="50" t="s">
        <v>41</v>
      </c>
      <c r="BJ17" s="50" t="s">
        <v>41</v>
      </c>
    </row>
    <row r="18" spans="2:80" x14ac:dyDescent="0.3">
      <c r="AF18" s="50"/>
      <c r="BJ18" s="50"/>
    </row>
    <row r="19" spans="2:80" x14ac:dyDescent="0.3">
      <c r="AF19" s="50"/>
      <c r="BJ19" s="50"/>
    </row>
    <row r="20" spans="2:80" x14ac:dyDescent="0.3">
      <c r="I20" s="1"/>
      <c r="J20" s="1"/>
      <c r="P20" t="s">
        <v>173</v>
      </c>
      <c r="Q20">
        <f>_xlfn.T.TEST(AG20:BF20,BK20:CI20,2,2)</f>
        <v>0.78487548785364369</v>
      </c>
      <c r="R20" t="s">
        <v>171</v>
      </c>
      <c r="S20" s="39">
        <v>6</v>
      </c>
      <c r="T20" s="39">
        <v>7</v>
      </c>
      <c r="U20" s="39">
        <v>3</v>
      </c>
      <c r="V20" s="39">
        <v>3</v>
      </c>
      <c r="W20" s="68"/>
      <c r="X20" t="str">
        <f>CONCATENATE(TRUNC(Y20,2), ",  (", TRUNC(Z20,2), " , ", TRUNC(AA20,2), "), ", S20)</f>
        <v>1.74,  (1.41 , 1.88), 6</v>
      </c>
      <c r="Y20">
        <f>MEDIAN(AG20:BF20)</f>
        <v>1.7405020880969599</v>
      </c>
      <c r="Z20">
        <f>_xlfn.PERCENTILE.INC(AG20:BF20, 0.25)</f>
        <v>1.4161592237265099</v>
      </c>
      <c r="AA20">
        <f>_xlfn.PERCENTILE.INC(AG20:BF20, 0.75)</f>
        <v>1.8837692386865601</v>
      </c>
      <c r="AB20" t="str">
        <f t="shared" si="1"/>
        <v>1.55,  (1.01 , 2.61), 3</v>
      </c>
      <c r="AC20">
        <f>MEDIAN(BK20:CI20)</f>
        <v>1.55389702055308</v>
      </c>
      <c r="AD20">
        <f>_xlfn.PERCENTILE.INC(BK20:CI20, 0.25)</f>
        <v>1.0148573292651475</v>
      </c>
      <c r="AE20">
        <f>_xlfn.PERCENTILE.INC(BK20:CI20, 0.75)</f>
        <v>2.617188223854765</v>
      </c>
      <c r="AF20" s="48" t="s">
        <v>39</v>
      </c>
      <c r="AG20" t="s">
        <v>162</v>
      </c>
      <c r="AH20" t="s">
        <v>162</v>
      </c>
      <c r="AI20" t="s">
        <v>162</v>
      </c>
      <c r="AJ20" t="s">
        <v>162</v>
      </c>
      <c r="AK20" s="59" t="s">
        <v>162</v>
      </c>
      <c r="AL20" s="58">
        <v>1.4161592237265099</v>
      </c>
      <c r="AM20" s="58" t="s">
        <v>162</v>
      </c>
      <c r="AN20" s="58">
        <v>1.7405020880969599</v>
      </c>
      <c r="AO20" s="59" t="s">
        <v>162</v>
      </c>
      <c r="AP20" s="59" t="s">
        <v>162</v>
      </c>
      <c r="AQ20" s="58">
        <v>1.40354475865929</v>
      </c>
      <c r="AR20" s="58" t="s">
        <v>162</v>
      </c>
      <c r="AS20" s="58">
        <v>1.8837692386865601</v>
      </c>
      <c r="AT20" s="58" t="s">
        <v>162</v>
      </c>
      <c r="AU20" s="58" t="s">
        <v>162</v>
      </c>
      <c r="AV20" s="58" t="s">
        <v>162</v>
      </c>
      <c r="AW20" s="116">
        <v>2.2784577091748002</v>
      </c>
      <c r="BJ20" s="48" t="s">
        <v>39</v>
      </c>
      <c r="BK20" t="s">
        <v>162</v>
      </c>
      <c r="BL20" t="s">
        <v>162</v>
      </c>
      <c r="BM20" t="s">
        <v>162</v>
      </c>
      <c r="BN20" t="s">
        <v>162</v>
      </c>
      <c r="BO20" t="s">
        <v>162</v>
      </c>
      <c r="BP20" t="s">
        <v>162</v>
      </c>
      <c r="BQ20" t="s">
        <v>162</v>
      </c>
      <c r="BR20" t="s">
        <v>162</v>
      </c>
      <c r="BS20" s="58">
        <v>0.89316309394488103</v>
      </c>
      <c r="BT20" s="116">
        <v>2.72033210885757</v>
      </c>
      <c r="BU20" s="58">
        <v>2.51404433885196</v>
      </c>
      <c r="BV20" s="58">
        <v>3.4387836114208898</v>
      </c>
      <c r="BW20" s="59" t="s">
        <v>162</v>
      </c>
      <c r="BX20" s="58">
        <v>0.90489098867090501</v>
      </c>
      <c r="BY20" s="59" t="s">
        <v>162</v>
      </c>
      <c r="BZ20" s="116">
        <v>1.1248236698593901</v>
      </c>
      <c r="CA20" s="116">
        <v>1.55389702055308</v>
      </c>
      <c r="CB20" t="s">
        <v>162</v>
      </c>
    </row>
    <row r="21" spans="2:80" x14ac:dyDescent="0.3">
      <c r="B21" t="s">
        <v>354</v>
      </c>
      <c r="D21" s="38" t="s">
        <v>283</v>
      </c>
      <c r="P21" t="s">
        <v>173</v>
      </c>
      <c r="Q21">
        <f>_xlfn.T.TEST(AG21:BF21,BK21:CI21,2,2)</f>
        <v>0.19061469588005944</v>
      </c>
      <c r="R21" t="s">
        <v>171</v>
      </c>
      <c r="S21" s="39">
        <v>3</v>
      </c>
      <c r="T21" s="39">
        <v>7</v>
      </c>
      <c r="U21" s="39">
        <v>3</v>
      </c>
      <c r="V21" s="39">
        <v>3</v>
      </c>
      <c r="W21" s="68"/>
      <c r="X21" t="str">
        <f t="shared" si="0"/>
        <v>2.03,  (1.95 , 2.11), 3</v>
      </c>
      <c r="Y21">
        <f>MEDIAN(AG21:BF21)</f>
        <v>2.03522409276863</v>
      </c>
      <c r="Z21">
        <f>_xlfn.PERCENTILE.INC(AG21:BF21, 0.25)</f>
        <v>1.9550138213741151</v>
      </c>
      <c r="AA21">
        <f>_xlfn.PERCENTILE.INC(AG21:BF21, 0.75)</f>
        <v>2.115434364163145</v>
      </c>
      <c r="AB21" t="str">
        <f t="shared" si="1"/>
        <v>1.41,  (1.04 , 1.57), 3</v>
      </c>
      <c r="AC21">
        <f>MEDIAN(BK21:CI21)</f>
        <v>1.417206120687575</v>
      </c>
      <c r="AD21">
        <f>_xlfn.PERCENTILE.INC(BK21:CI21, 0.25)</f>
        <v>1.0472167885985899</v>
      </c>
      <c r="AE21">
        <f>_xlfn.PERCENTILE.INC(BK21:CI21, 0.75)</f>
        <v>1.5782505009877177</v>
      </c>
      <c r="AF21" s="48" t="s">
        <v>40</v>
      </c>
      <c r="AG21" t="s">
        <v>162</v>
      </c>
      <c r="AH21" t="s">
        <v>162</v>
      </c>
      <c r="AI21" t="s">
        <v>162</v>
      </c>
      <c r="AJ21" t="s">
        <v>162</v>
      </c>
      <c r="AK21" s="59" t="s">
        <v>162</v>
      </c>
      <c r="AL21" s="59" t="s">
        <v>162</v>
      </c>
      <c r="AM21" s="58" t="s">
        <v>162</v>
      </c>
      <c r="AN21" s="61" t="s">
        <v>162</v>
      </c>
      <c r="AO21" s="59" t="s">
        <v>162</v>
      </c>
      <c r="AP21" s="59" t="s">
        <v>162</v>
      </c>
      <c r="AQ21" s="58">
        <v>1.8748035499796001</v>
      </c>
      <c r="AR21" s="58" t="s">
        <v>162</v>
      </c>
      <c r="AS21" s="61" t="s">
        <v>162</v>
      </c>
      <c r="AT21" s="58" t="s">
        <v>162</v>
      </c>
      <c r="AU21" s="58" t="s">
        <v>162</v>
      </c>
      <c r="AV21" s="58" t="s">
        <v>162</v>
      </c>
      <c r="AW21" s="116">
        <v>2.19564463555766</v>
      </c>
      <c r="BJ21" s="48" t="s">
        <v>40</v>
      </c>
      <c r="BK21" t="s">
        <v>162</v>
      </c>
      <c r="BL21" t="s">
        <v>162</v>
      </c>
      <c r="BM21" t="s">
        <v>162</v>
      </c>
      <c r="BN21" t="s">
        <v>162</v>
      </c>
      <c r="BO21" t="s">
        <v>162</v>
      </c>
      <c r="BP21" t="s">
        <v>162</v>
      </c>
      <c r="BQ21" t="s">
        <v>162</v>
      </c>
      <c r="BR21" t="s">
        <v>162</v>
      </c>
      <c r="BS21" s="58">
        <v>0.52535944249941502</v>
      </c>
      <c r="BT21" s="116">
        <v>1.35482418737221</v>
      </c>
      <c r="BU21" s="58">
        <v>1.70075307373037</v>
      </c>
      <c r="BV21" s="58">
        <v>2.5404880981468598</v>
      </c>
      <c r="BW21" s="58">
        <v>1.1218892059474299</v>
      </c>
      <c r="BX21" s="58">
        <v>1.47958805400294</v>
      </c>
      <c r="BY21" s="58">
        <v>0.82319953655207001</v>
      </c>
      <c r="BZ21" s="59" t="s">
        <v>162</v>
      </c>
      <c r="CA21" s="116">
        <v>1.5374163100735001</v>
      </c>
      <c r="CB21" t="s">
        <v>162</v>
      </c>
    </row>
    <row r="22" spans="2:80" ht="23.4" x14ac:dyDescent="0.45">
      <c r="D22" s="94" t="s">
        <v>356</v>
      </c>
      <c r="S22" s="39"/>
      <c r="T22" s="39"/>
      <c r="U22" s="39"/>
      <c r="V22" s="39"/>
      <c r="W22" s="68"/>
      <c r="AK22" s="58"/>
      <c r="AL22" s="59"/>
      <c r="AM22" s="58"/>
      <c r="AN22" s="61"/>
      <c r="AO22" s="62"/>
      <c r="AP22" s="58"/>
      <c r="AQ22" s="58"/>
      <c r="AR22" s="58"/>
      <c r="AS22" s="61"/>
      <c r="AT22" s="58"/>
      <c r="BS22" s="58"/>
      <c r="BT22" s="58"/>
      <c r="BU22" s="58"/>
    </row>
    <row r="23" spans="2:80" ht="15" thickBot="1" x14ac:dyDescent="0.35">
      <c r="S23" s="39"/>
      <c r="T23" s="39"/>
      <c r="U23" s="39"/>
      <c r="V23" s="39"/>
      <c r="W23" s="68"/>
      <c r="AK23" s="58"/>
      <c r="AL23" s="59"/>
      <c r="AM23" s="58"/>
      <c r="AN23" s="61"/>
      <c r="AO23" s="62"/>
      <c r="AP23" s="58"/>
      <c r="AQ23" s="58"/>
      <c r="AR23" s="58"/>
      <c r="AS23" s="61"/>
      <c r="AT23" s="58"/>
      <c r="BS23" s="58"/>
      <c r="BT23" s="58"/>
      <c r="BU23" s="58"/>
    </row>
    <row r="24" spans="2:80" x14ac:dyDescent="0.3">
      <c r="B24" s="120"/>
      <c r="C24" s="173" t="s">
        <v>310</v>
      </c>
      <c r="D24" s="182"/>
      <c r="E24" s="189" t="s">
        <v>41</v>
      </c>
      <c r="F24" s="174"/>
      <c r="S24" s="39"/>
      <c r="T24" s="39"/>
      <c r="U24" s="39"/>
      <c r="V24" s="39"/>
      <c r="W24" s="68"/>
      <c r="AK24" s="58"/>
      <c r="AL24" s="59"/>
      <c r="AM24" s="58"/>
      <c r="AN24" s="61"/>
      <c r="AO24" s="62"/>
      <c r="AP24" s="58"/>
      <c r="AQ24" s="58"/>
      <c r="AR24" s="58"/>
      <c r="AS24" s="61"/>
      <c r="AT24" s="58"/>
      <c r="BS24" s="58"/>
      <c r="BT24" s="58"/>
      <c r="BU24" s="58"/>
    </row>
    <row r="25" spans="2:80" x14ac:dyDescent="0.3">
      <c r="B25" s="84"/>
      <c r="C25" s="8" t="s">
        <v>375</v>
      </c>
      <c r="D25" s="110" t="s">
        <v>308</v>
      </c>
      <c r="E25" s="8" t="s">
        <v>375</v>
      </c>
      <c r="F25" s="91" t="s">
        <v>308</v>
      </c>
      <c r="H25" s="1"/>
      <c r="R25" s="39"/>
      <c r="S25" s="39"/>
      <c r="T25" s="39"/>
      <c r="U25" s="39"/>
      <c r="V25" s="68"/>
      <c r="AJ25" s="58"/>
      <c r="AK25" s="59"/>
      <c r="AL25" s="58"/>
      <c r="AM25" s="61"/>
      <c r="AN25" s="62"/>
      <c r="AO25" s="58"/>
      <c r="AP25" s="58"/>
      <c r="AQ25" s="58"/>
      <c r="AR25" s="61"/>
      <c r="AS25" s="58"/>
      <c r="BR25" s="58"/>
      <c r="BS25" s="58"/>
      <c r="BT25" s="58"/>
    </row>
    <row r="26" spans="2:80" x14ac:dyDescent="0.3">
      <c r="B26" s="76" t="s">
        <v>3</v>
      </c>
      <c r="C26" s="10" t="s">
        <v>365</v>
      </c>
      <c r="D26" s="113" t="s">
        <v>366</v>
      </c>
      <c r="E26" s="10" t="s">
        <v>367</v>
      </c>
      <c r="F26" s="53" t="s">
        <v>368</v>
      </c>
      <c r="H26" s="99">
        <v>44629</v>
      </c>
      <c r="I26" t="s">
        <v>374</v>
      </c>
      <c r="J26" s="10"/>
      <c r="R26" s="39"/>
      <c r="S26" s="39"/>
      <c r="T26" s="39"/>
      <c r="U26" s="39"/>
      <c r="V26" s="68"/>
      <c r="AJ26" s="58"/>
      <c r="AK26" s="59"/>
      <c r="AL26" s="58"/>
      <c r="AM26" s="61"/>
      <c r="AN26" s="62"/>
      <c r="AO26" s="58"/>
      <c r="AP26" s="58"/>
      <c r="AQ26" s="58"/>
      <c r="AR26" s="61"/>
      <c r="AS26" s="58"/>
      <c r="BR26" s="58"/>
      <c r="BS26" s="58"/>
      <c r="BT26" s="58"/>
    </row>
    <row r="27" spans="2:80" x14ac:dyDescent="0.3">
      <c r="B27" s="48" t="s">
        <v>292</v>
      </c>
      <c r="C27" s="10" t="s">
        <v>358</v>
      </c>
      <c r="D27" s="113" t="s">
        <v>359</v>
      </c>
      <c r="E27" s="10" t="s">
        <v>345</v>
      </c>
      <c r="F27" s="53" t="s">
        <v>346</v>
      </c>
      <c r="H27" s="99">
        <v>44629</v>
      </c>
      <c r="I27" t="s">
        <v>357</v>
      </c>
    </row>
    <row r="28" spans="2:80" x14ac:dyDescent="0.3">
      <c r="B28" s="48" t="s">
        <v>301</v>
      </c>
      <c r="C28" s="10" t="s">
        <v>321</v>
      </c>
      <c r="D28" s="113" t="s">
        <v>322</v>
      </c>
      <c r="E28" s="10" t="s">
        <v>324</v>
      </c>
      <c r="F28" s="53" t="s">
        <v>325</v>
      </c>
      <c r="H28" s="99">
        <v>44629</v>
      </c>
      <c r="I28" t="s">
        <v>373</v>
      </c>
    </row>
    <row r="29" spans="2:80" x14ac:dyDescent="0.3">
      <c r="B29" s="48" t="s">
        <v>302</v>
      </c>
      <c r="C29" s="10" t="s">
        <v>326</v>
      </c>
      <c r="D29" s="113" t="s">
        <v>327</v>
      </c>
      <c r="E29" s="10" t="s">
        <v>328</v>
      </c>
      <c r="F29" s="53" t="s">
        <v>329</v>
      </c>
      <c r="H29" s="99">
        <v>44629</v>
      </c>
      <c r="I29" t="s">
        <v>373</v>
      </c>
    </row>
    <row r="30" spans="2:80" x14ac:dyDescent="0.3">
      <c r="B30" s="48" t="s">
        <v>280</v>
      </c>
      <c r="C30" s="102" t="s">
        <v>370</v>
      </c>
      <c r="D30" s="111" t="s">
        <v>369</v>
      </c>
      <c r="E30" s="102" t="s">
        <v>372</v>
      </c>
      <c r="F30" s="103" t="s">
        <v>371</v>
      </c>
      <c r="H30" s="99">
        <v>44629</v>
      </c>
      <c r="I30" t="s">
        <v>373</v>
      </c>
    </row>
    <row r="31" spans="2:80" ht="15" customHeight="1" x14ac:dyDescent="0.3">
      <c r="B31" s="48" t="s">
        <v>304</v>
      </c>
      <c r="C31" s="10" t="s">
        <v>330</v>
      </c>
      <c r="D31" s="113" t="s">
        <v>331</v>
      </c>
      <c r="E31" s="10" t="s">
        <v>332</v>
      </c>
      <c r="F31" s="53" t="s">
        <v>333</v>
      </c>
      <c r="H31" s="99">
        <v>44629</v>
      </c>
      <c r="I31" t="s">
        <v>373</v>
      </c>
    </row>
    <row r="32" spans="2:80" ht="15.75" customHeight="1" thickBot="1" x14ac:dyDescent="0.35">
      <c r="B32" s="51" t="s">
        <v>305</v>
      </c>
      <c r="C32" s="55" t="s">
        <v>334</v>
      </c>
      <c r="D32" s="114" t="s">
        <v>335</v>
      </c>
      <c r="E32" s="55" t="s">
        <v>336</v>
      </c>
      <c r="F32" s="56" t="s">
        <v>337</v>
      </c>
      <c r="H32" s="99">
        <v>44629</v>
      </c>
      <c r="I32" t="s">
        <v>373</v>
      </c>
    </row>
    <row r="47" spans="2:2" x14ac:dyDescent="0.3">
      <c r="B47" t="s">
        <v>313</v>
      </c>
    </row>
    <row r="48" spans="2:2" ht="15" thickBot="1" x14ac:dyDescent="0.35"/>
    <row r="49" spans="2:14" ht="29.4" thickBot="1" x14ac:dyDescent="0.35">
      <c r="B49" s="169" t="s">
        <v>314</v>
      </c>
      <c r="C49" s="170"/>
      <c r="D49" s="171"/>
      <c r="M49" s="28" t="s">
        <v>317</v>
      </c>
      <c r="N49" s="28" t="s">
        <v>320</v>
      </c>
    </row>
    <row r="50" spans="2:14" x14ac:dyDescent="0.3">
      <c r="B50" s="172" t="s">
        <v>310</v>
      </c>
      <c r="C50" s="173"/>
      <c r="D50" s="174"/>
    </row>
    <row r="51" spans="2:14" ht="15" thickBot="1" x14ac:dyDescent="0.35"/>
    <row r="52" spans="2:14" x14ac:dyDescent="0.3">
      <c r="B52" s="75"/>
      <c r="C52" s="46" t="s">
        <v>7</v>
      </c>
      <c r="D52" s="46"/>
      <c r="E52" s="46" t="s">
        <v>0</v>
      </c>
      <c r="F52" s="46"/>
      <c r="G52" s="46"/>
      <c r="H52" s="46"/>
      <c r="I52" s="90"/>
      <c r="J52" s="46" t="s">
        <v>315</v>
      </c>
      <c r="K52" s="98"/>
    </row>
    <row r="53" spans="2:14" ht="28.8" x14ac:dyDescent="0.3">
      <c r="B53" s="84"/>
      <c r="C53" s="3" t="s">
        <v>281</v>
      </c>
      <c r="D53" s="8" t="s">
        <v>308</v>
      </c>
      <c r="E53" s="3" t="s">
        <v>281</v>
      </c>
      <c r="F53" s="3"/>
      <c r="G53" s="3"/>
      <c r="H53" s="3"/>
      <c r="I53" s="8" t="s">
        <v>308</v>
      </c>
      <c r="J53" s="3" t="s">
        <v>281</v>
      </c>
      <c r="K53" s="91" t="s">
        <v>308</v>
      </c>
    </row>
    <row r="54" spans="2:14" x14ac:dyDescent="0.3">
      <c r="B54" s="76" t="s">
        <v>279</v>
      </c>
      <c r="C54" s="10" t="s">
        <v>311</v>
      </c>
      <c r="D54" s="10" t="s">
        <v>309</v>
      </c>
      <c r="E54" s="10" t="s">
        <v>311</v>
      </c>
      <c r="F54" s="10"/>
      <c r="G54" s="10"/>
      <c r="H54" s="10"/>
      <c r="I54" s="10" t="s">
        <v>309</v>
      </c>
      <c r="J54" s="102" t="s">
        <v>311</v>
      </c>
      <c r="K54" s="103" t="s">
        <v>309</v>
      </c>
      <c r="M54" s="99">
        <v>44629</v>
      </c>
    </row>
    <row r="55" spans="2:14" ht="15" thickBot="1" x14ac:dyDescent="0.35">
      <c r="B55" s="51" t="s">
        <v>292</v>
      </c>
      <c r="C55" s="55" t="s">
        <v>339</v>
      </c>
      <c r="D55" s="55" t="s">
        <v>344</v>
      </c>
      <c r="E55" s="55" t="s">
        <v>342</v>
      </c>
      <c r="F55" s="55"/>
      <c r="G55" s="55"/>
      <c r="H55" s="55"/>
      <c r="I55" s="55" t="s">
        <v>343</v>
      </c>
      <c r="J55" s="104" t="s">
        <v>340</v>
      </c>
      <c r="K55" s="105" t="s">
        <v>341</v>
      </c>
      <c r="M55" s="99">
        <v>44629</v>
      </c>
      <c r="N55" t="s">
        <v>338</v>
      </c>
    </row>
    <row r="59" spans="2:14" x14ac:dyDescent="0.3">
      <c r="B59" t="s">
        <v>312</v>
      </c>
    </row>
    <row r="60" spans="2:14" ht="29.4" thickBot="1" x14ac:dyDescent="0.35">
      <c r="M60" s="28" t="s">
        <v>317</v>
      </c>
      <c r="N60" s="28" t="s">
        <v>320</v>
      </c>
    </row>
    <row r="61" spans="2:14" ht="15" thickBot="1" x14ac:dyDescent="0.35">
      <c r="B61" s="169" t="s">
        <v>314</v>
      </c>
      <c r="C61" s="170"/>
      <c r="D61" s="171"/>
    </row>
    <row r="62" spans="2:14" x14ac:dyDescent="0.3">
      <c r="B62" s="172" t="s">
        <v>41</v>
      </c>
      <c r="C62" s="173"/>
      <c r="D62" s="174"/>
    </row>
    <row r="63" spans="2:14" ht="15" thickBot="1" x14ac:dyDescent="0.35"/>
    <row r="64" spans="2:14" x14ac:dyDescent="0.3">
      <c r="B64" s="75"/>
      <c r="C64" s="46" t="s">
        <v>7</v>
      </c>
      <c r="D64" s="46"/>
      <c r="E64" s="46" t="s">
        <v>0</v>
      </c>
      <c r="F64" s="46"/>
      <c r="G64" s="46"/>
      <c r="H64" s="46"/>
      <c r="I64" s="90"/>
      <c r="J64" s="46" t="s">
        <v>315</v>
      </c>
      <c r="K64" s="98"/>
    </row>
    <row r="65" spans="2:17" ht="28.8" x14ac:dyDescent="0.3">
      <c r="B65" s="84"/>
      <c r="C65" s="3" t="s">
        <v>281</v>
      </c>
      <c r="D65" s="8" t="s">
        <v>308</v>
      </c>
      <c r="E65" s="3" t="s">
        <v>281</v>
      </c>
      <c r="F65" s="3"/>
      <c r="G65" s="3"/>
      <c r="H65" s="3"/>
      <c r="I65" s="8" t="s">
        <v>308</v>
      </c>
      <c r="J65" s="3" t="s">
        <v>281</v>
      </c>
      <c r="K65" s="91" t="s">
        <v>308</v>
      </c>
    </row>
    <row r="66" spans="2:17" x14ac:dyDescent="0.3">
      <c r="B66" s="76" t="s">
        <v>279</v>
      </c>
      <c r="C66" s="10" t="s">
        <v>311</v>
      </c>
      <c r="D66" s="10" t="s">
        <v>309</v>
      </c>
      <c r="E66" s="10" t="s">
        <v>311</v>
      </c>
      <c r="F66" s="10"/>
      <c r="G66" s="10"/>
      <c r="H66" s="10"/>
      <c r="I66" s="10" t="s">
        <v>309</v>
      </c>
      <c r="J66" s="102" t="s">
        <v>311</v>
      </c>
      <c r="K66" s="103" t="s">
        <v>309</v>
      </c>
      <c r="M66" s="99">
        <v>44629</v>
      </c>
    </row>
    <row r="67" spans="2:17" ht="15" thickBot="1" x14ac:dyDescent="0.35">
      <c r="B67" s="51" t="s">
        <v>292</v>
      </c>
      <c r="C67" s="55" t="s">
        <v>345</v>
      </c>
      <c r="D67" s="55" t="s">
        <v>346</v>
      </c>
      <c r="E67" s="55" t="s">
        <v>347</v>
      </c>
      <c r="F67" s="55"/>
      <c r="G67" s="55"/>
      <c r="H67" s="55"/>
      <c r="I67" s="55" t="s">
        <v>348</v>
      </c>
      <c r="J67" s="104" t="s">
        <v>349</v>
      </c>
      <c r="K67" s="105" t="s">
        <v>350</v>
      </c>
      <c r="M67" s="99">
        <v>44629</v>
      </c>
      <c r="N67" t="s">
        <v>338</v>
      </c>
    </row>
    <row r="73" spans="2:17" ht="23.4" x14ac:dyDescent="0.45">
      <c r="B73" s="94" t="s">
        <v>282</v>
      </c>
    </row>
    <row r="75" spans="2:17" ht="15" thickBot="1" x14ac:dyDescent="0.35">
      <c r="B75" t="s">
        <v>42</v>
      </c>
      <c r="C75" s="7">
        <v>44959</v>
      </c>
    </row>
    <row r="76" spans="2:17" x14ac:dyDescent="0.3">
      <c r="B76" s="45" t="s">
        <v>37</v>
      </c>
      <c r="C76" s="46" t="s">
        <v>7</v>
      </c>
      <c r="D76" s="46" t="s">
        <v>0</v>
      </c>
      <c r="E76" s="47" t="s">
        <v>43</v>
      </c>
      <c r="F76" s="74"/>
      <c r="G76" s="74"/>
      <c r="H76" s="74"/>
    </row>
    <row r="77" spans="2:17" x14ac:dyDescent="0.3">
      <c r="B77" s="48"/>
      <c r="C77" s="10"/>
      <c r="D77" s="10"/>
      <c r="E77" s="53"/>
      <c r="F77" s="39"/>
      <c r="G77" s="39"/>
      <c r="H77" s="39"/>
    </row>
    <row r="78" spans="2:17" x14ac:dyDescent="0.3">
      <c r="B78" s="49" t="s">
        <v>74</v>
      </c>
      <c r="C78" s="25"/>
      <c r="D78" s="25"/>
      <c r="E78" s="53"/>
      <c r="F78" s="39"/>
      <c r="G78" s="39"/>
      <c r="H78" s="39"/>
    </row>
    <row r="79" spans="2:17" x14ac:dyDescent="0.3">
      <c r="B79" s="50" t="s">
        <v>38</v>
      </c>
      <c r="C79" s="10"/>
      <c r="D79" s="10"/>
      <c r="E79" s="53"/>
      <c r="F79" s="39"/>
      <c r="G79" s="39"/>
      <c r="H79" s="39"/>
      <c r="L79" s="39"/>
      <c r="M79" s="39"/>
      <c r="N79" s="39"/>
      <c r="O79" s="39"/>
      <c r="P79" s="39"/>
      <c r="Q79" s="39"/>
    </row>
    <row r="80" spans="2:17" x14ac:dyDescent="0.3">
      <c r="B80" s="48" t="s">
        <v>39</v>
      </c>
      <c r="C80" s="10" t="str">
        <f>X15</f>
        <v>1.74,  (1.36 , 2), 6</v>
      </c>
      <c r="D80" s="10" t="str">
        <f>AB15</f>
        <v>3.01,  (1.73 , 3.39), 9</v>
      </c>
      <c r="E80" s="53"/>
      <c r="F80" s="39"/>
      <c r="G80" s="39"/>
      <c r="H80" s="39"/>
      <c r="L80" s="39"/>
      <c r="M80" s="39"/>
      <c r="N80" s="39"/>
      <c r="O80" s="39"/>
      <c r="P80" s="39"/>
      <c r="Q80" s="39"/>
    </row>
    <row r="81" spans="2:80" x14ac:dyDescent="0.3">
      <c r="B81" s="48" t="s">
        <v>40</v>
      </c>
      <c r="C81" s="10" t="str">
        <f>X16</f>
        <v>1.76,  (1.37 , 1.85), 4</v>
      </c>
      <c r="D81" s="10" t="str">
        <f>AB16</f>
        <v>1.82,  (1.19 , 2.49), 9</v>
      </c>
      <c r="E81" s="53"/>
      <c r="F81" s="39"/>
      <c r="G81" s="39"/>
      <c r="H81" s="39"/>
      <c r="L81" s="39"/>
      <c r="M81" s="39"/>
      <c r="N81" s="39"/>
      <c r="O81" s="39"/>
      <c r="P81" s="39"/>
      <c r="Q81" s="39"/>
    </row>
    <row r="82" spans="2:80" x14ac:dyDescent="0.3">
      <c r="B82" s="50" t="s">
        <v>41</v>
      </c>
      <c r="C82" s="10"/>
      <c r="D82" s="10"/>
      <c r="E82" s="53"/>
      <c r="F82" s="39"/>
      <c r="G82" s="39"/>
      <c r="H82" s="39"/>
      <c r="L82" s="39"/>
      <c r="M82" s="39"/>
      <c r="N82" s="39"/>
      <c r="O82" s="39"/>
      <c r="P82" s="39"/>
      <c r="Q82" s="39"/>
    </row>
    <row r="83" spans="2:80" x14ac:dyDescent="0.3">
      <c r="B83" s="48" t="s">
        <v>39</v>
      </c>
      <c r="C83" s="10" t="str">
        <f>X20</f>
        <v>1.74,  (1.41 , 1.88), 6</v>
      </c>
      <c r="D83" s="10" t="str">
        <f>AB20</f>
        <v>1.55,  (1.01 , 2.61), 3</v>
      </c>
      <c r="E83" s="53"/>
      <c r="F83" s="39"/>
      <c r="G83" s="39"/>
      <c r="H83" s="39"/>
      <c r="L83" s="39"/>
      <c r="M83" s="39"/>
      <c r="N83" s="39"/>
      <c r="O83" s="39"/>
      <c r="P83" s="39"/>
      <c r="Q83" s="39"/>
    </row>
    <row r="84" spans="2:80" x14ac:dyDescent="0.3">
      <c r="B84" s="48" t="s">
        <v>40</v>
      </c>
      <c r="C84" s="10" t="str">
        <f>X21</f>
        <v>2.03,  (1.95 , 2.11), 3</v>
      </c>
      <c r="D84" s="10" t="str">
        <f>AB21</f>
        <v>1.41,  (1.04 , 1.57), 3</v>
      </c>
      <c r="E84" s="53"/>
      <c r="F84" s="39"/>
      <c r="G84" s="39"/>
      <c r="H84" s="39"/>
      <c r="L84" s="39"/>
      <c r="M84" s="39"/>
      <c r="N84" s="39"/>
      <c r="O84" s="39"/>
      <c r="P84" s="39"/>
      <c r="Q84" s="39"/>
    </row>
    <row r="85" spans="2:80" x14ac:dyDescent="0.3">
      <c r="C85" s="39"/>
      <c r="D85" s="39"/>
      <c r="E85" s="39"/>
      <c r="F85" s="39"/>
      <c r="G85" s="39"/>
      <c r="H85" s="39"/>
      <c r="L85" s="39"/>
      <c r="M85" s="39"/>
      <c r="N85" s="39"/>
      <c r="O85" s="39"/>
      <c r="P85" s="39"/>
      <c r="Q85" s="39"/>
    </row>
    <row r="86" spans="2:80" x14ac:dyDescent="0.3">
      <c r="C86" s="39"/>
      <c r="D86" s="39"/>
      <c r="E86" s="39"/>
      <c r="F86" s="39"/>
      <c r="G86" s="39"/>
      <c r="H86" s="39"/>
      <c r="L86" s="39"/>
      <c r="M86" s="39"/>
      <c r="N86" s="39"/>
      <c r="O86" s="39"/>
      <c r="P86" s="39"/>
      <c r="Q86" s="39"/>
    </row>
    <row r="87" spans="2:80" x14ac:dyDescent="0.3">
      <c r="C87" s="39"/>
      <c r="D87" s="39"/>
      <c r="E87" s="39"/>
      <c r="F87" s="39"/>
      <c r="G87" s="39"/>
      <c r="H87" s="39"/>
      <c r="L87" s="39"/>
      <c r="M87" s="39"/>
      <c r="N87" s="39"/>
      <c r="O87" s="39"/>
      <c r="P87" s="39"/>
      <c r="Q87" s="39"/>
    </row>
    <row r="88" spans="2:80" x14ac:dyDescent="0.3">
      <c r="L88" s="39"/>
      <c r="M88" s="39"/>
      <c r="N88" s="39"/>
      <c r="O88" s="39"/>
      <c r="P88" s="39"/>
      <c r="Q88" s="39"/>
    </row>
    <row r="89" spans="2:80" ht="25.8" x14ac:dyDescent="0.5">
      <c r="B89" s="57" t="s">
        <v>175</v>
      </c>
      <c r="L89" s="39"/>
      <c r="M89" s="39"/>
      <c r="N89" s="39"/>
      <c r="O89" s="39"/>
      <c r="P89" s="39"/>
      <c r="Q89" s="39"/>
    </row>
    <row r="90" spans="2:80" x14ac:dyDescent="0.3">
      <c r="B90" t="s">
        <v>42</v>
      </c>
      <c r="C90" s="7">
        <v>44959</v>
      </c>
      <c r="L90" s="39"/>
      <c r="M90" s="39"/>
      <c r="N90" s="39"/>
      <c r="O90" s="39"/>
      <c r="P90" s="39"/>
      <c r="Q90" s="39"/>
    </row>
    <row r="91" spans="2:80" ht="15" thickBot="1" x14ac:dyDescent="0.35">
      <c r="L91" s="39"/>
      <c r="M91" s="39"/>
      <c r="N91" s="39"/>
      <c r="O91" s="39"/>
      <c r="P91" s="39"/>
      <c r="Q91" s="39"/>
    </row>
    <row r="92" spans="2:80" x14ac:dyDescent="0.3">
      <c r="B92" s="45" t="s">
        <v>37</v>
      </c>
      <c r="C92" s="46" t="s">
        <v>7</v>
      </c>
      <c r="D92" s="46" t="s">
        <v>0</v>
      </c>
      <c r="E92" s="47" t="s">
        <v>43</v>
      </c>
      <c r="F92" s="74"/>
      <c r="G92" s="74"/>
      <c r="H92" s="74"/>
      <c r="AF92" s="1" t="s">
        <v>187</v>
      </c>
      <c r="AG92" t="s">
        <v>188</v>
      </c>
      <c r="AH92" t="s">
        <v>189</v>
      </c>
      <c r="AI92" t="s">
        <v>190</v>
      </c>
      <c r="AJ92" t="s">
        <v>191</v>
      </c>
      <c r="AK92" t="s">
        <v>192</v>
      </c>
      <c r="AL92" t="s">
        <v>193</v>
      </c>
      <c r="AM92" t="s">
        <v>194</v>
      </c>
      <c r="AN92" t="s">
        <v>194</v>
      </c>
      <c r="AO92" t="s">
        <v>195</v>
      </c>
      <c r="AP92" t="s">
        <v>196</v>
      </c>
      <c r="AQ92" t="s">
        <v>197</v>
      </c>
      <c r="AR92" t="s">
        <v>198</v>
      </c>
      <c r="AS92" t="s">
        <v>199</v>
      </c>
      <c r="AT92" t="s">
        <v>200</v>
      </c>
      <c r="AW92" t="s">
        <v>378</v>
      </c>
      <c r="BJ92" s="1" t="s">
        <v>187</v>
      </c>
      <c r="BK92" t="s">
        <v>202</v>
      </c>
      <c r="BL92" t="s">
        <v>198</v>
      </c>
      <c r="BM92" t="s">
        <v>203</v>
      </c>
      <c r="BN92" t="s">
        <v>204</v>
      </c>
      <c r="BO92" t="s">
        <v>205</v>
      </c>
      <c r="BP92" t="s">
        <v>206</v>
      </c>
      <c r="BQ92" t="s">
        <v>207</v>
      </c>
      <c r="BR92" t="s">
        <v>208</v>
      </c>
      <c r="BS92" t="s">
        <v>209</v>
      </c>
      <c r="BT92" t="s">
        <v>210</v>
      </c>
      <c r="BU92" t="s">
        <v>203</v>
      </c>
      <c r="BV92" t="s">
        <v>211</v>
      </c>
      <c r="BW92" t="s">
        <v>212</v>
      </c>
      <c r="BX92" t="s">
        <v>213</v>
      </c>
      <c r="BY92" t="s">
        <v>380</v>
      </c>
      <c r="BZ92" t="s">
        <v>381</v>
      </c>
      <c r="CA92" t="s">
        <v>382</v>
      </c>
      <c r="CB92" t="s">
        <v>383</v>
      </c>
    </row>
    <row r="93" spans="2:80" x14ac:dyDescent="0.3">
      <c r="B93" s="48"/>
      <c r="C93" s="10"/>
      <c r="D93" s="10"/>
      <c r="E93" s="53"/>
      <c r="F93" s="39"/>
      <c r="G93" s="39"/>
      <c r="H93" s="39"/>
      <c r="AF93" s="1" t="s">
        <v>201</v>
      </c>
      <c r="AG93">
        <f>AG94/12</f>
        <v>12.5</v>
      </c>
      <c r="AH93" t="s">
        <v>162</v>
      </c>
      <c r="AI93">
        <f>AI94/12</f>
        <v>10.5</v>
      </c>
      <c r="AJ93">
        <f>AJ94/12</f>
        <v>10.916666666666666</v>
      </c>
      <c r="AK93">
        <f>AK94/12</f>
        <v>14.833333333333334</v>
      </c>
      <c r="AL93">
        <f>AL94/12</f>
        <v>9.8333333333333339</v>
      </c>
      <c r="AM93" t="s">
        <v>162</v>
      </c>
      <c r="AN93">
        <v>18</v>
      </c>
      <c r="AO93" t="s">
        <v>162</v>
      </c>
      <c r="AP93" t="s">
        <v>162</v>
      </c>
      <c r="AQ93">
        <f>AQ94/12</f>
        <v>10.833333333333334</v>
      </c>
      <c r="AR93" s="27" t="s">
        <v>162</v>
      </c>
      <c r="AS93">
        <f>AS94/12</f>
        <v>14.75</v>
      </c>
      <c r="AT93" s="27" t="s">
        <v>162</v>
      </c>
      <c r="AU93" s="27" t="s">
        <v>162</v>
      </c>
      <c r="AV93" s="27" t="s">
        <v>162</v>
      </c>
      <c r="AW93">
        <f>AW94/12</f>
        <v>12.583333333333334</v>
      </c>
      <c r="BJ93" s="1" t="s">
        <v>201</v>
      </c>
      <c r="BK93">
        <f>BK94/12</f>
        <v>10.583333333333334</v>
      </c>
      <c r="BL93">
        <f>BL94/12</f>
        <v>7.083333333333333</v>
      </c>
      <c r="BM93">
        <f>BM94/12</f>
        <v>7.333333333333333</v>
      </c>
      <c r="BN93" t="s">
        <v>162</v>
      </c>
      <c r="BO93">
        <f t="shared" ref="BO93:CA93" si="2">BO94/12</f>
        <v>11.166666666666666</v>
      </c>
      <c r="BP93">
        <f t="shared" si="2"/>
        <v>9.25</v>
      </c>
      <c r="BQ93">
        <f t="shared" si="2"/>
        <v>9.5</v>
      </c>
      <c r="BR93">
        <f t="shared" si="2"/>
        <v>6.75</v>
      </c>
      <c r="BS93">
        <f t="shared" si="2"/>
        <v>13.416666666666666</v>
      </c>
      <c r="BT93">
        <f t="shared" si="2"/>
        <v>8.6666666666666661</v>
      </c>
      <c r="BU93">
        <f t="shared" si="2"/>
        <v>11.833333333333334</v>
      </c>
      <c r="BV93">
        <f t="shared" si="2"/>
        <v>7.333333333333333</v>
      </c>
      <c r="BW93">
        <f t="shared" si="2"/>
        <v>15</v>
      </c>
      <c r="BX93">
        <f t="shared" si="2"/>
        <v>11.833333333333334</v>
      </c>
      <c r="BY93">
        <f t="shared" si="2"/>
        <v>11.916666666666666</v>
      </c>
      <c r="BZ93">
        <f t="shared" si="2"/>
        <v>15.75</v>
      </c>
      <c r="CA93">
        <f t="shared" si="2"/>
        <v>12.333333333333334</v>
      </c>
      <c r="CB93" t="s">
        <v>162</v>
      </c>
    </row>
    <row r="94" spans="2:80" x14ac:dyDescent="0.3">
      <c r="B94" s="49" t="s">
        <v>74</v>
      </c>
      <c r="C94" s="25"/>
      <c r="D94" s="25"/>
      <c r="E94" s="53"/>
      <c r="F94" s="39"/>
      <c r="G94" s="39"/>
      <c r="H94" s="39"/>
      <c r="AF94" s="1" t="s">
        <v>72</v>
      </c>
      <c r="AG94">
        <v>150</v>
      </c>
      <c r="AH94" t="s">
        <v>162</v>
      </c>
      <c r="AI94">
        <v>126</v>
      </c>
      <c r="AJ94">
        <v>131</v>
      </c>
      <c r="AK94">
        <v>178</v>
      </c>
      <c r="AL94">
        <v>118</v>
      </c>
      <c r="AM94" t="s">
        <v>162</v>
      </c>
      <c r="AN94">
        <v>224</v>
      </c>
      <c r="AO94" t="s">
        <v>162</v>
      </c>
      <c r="AP94" t="s">
        <v>162</v>
      </c>
      <c r="AQ94">
        <v>130</v>
      </c>
      <c r="AR94" s="27" t="s">
        <v>162</v>
      </c>
      <c r="AS94">
        <v>177</v>
      </c>
      <c r="AT94" s="27" t="s">
        <v>162</v>
      </c>
      <c r="AU94" s="27" t="s">
        <v>162</v>
      </c>
      <c r="AV94" s="27" t="s">
        <v>162</v>
      </c>
      <c r="AW94">
        <v>151</v>
      </c>
      <c r="BJ94" s="1" t="s">
        <v>72</v>
      </c>
      <c r="BK94">
        <v>127</v>
      </c>
      <c r="BL94">
        <v>85</v>
      </c>
      <c r="BM94">
        <v>88</v>
      </c>
      <c r="BN94" t="s">
        <v>162</v>
      </c>
      <c r="BO94">
        <v>134</v>
      </c>
      <c r="BP94">
        <v>111</v>
      </c>
      <c r="BQ94" s="27">
        <v>114</v>
      </c>
      <c r="BR94" s="1">
        <v>81</v>
      </c>
      <c r="BS94">
        <v>161</v>
      </c>
      <c r="BT94">
        <v>104</v>
      </c>
      <c r="BU94">
        <v>142</v>
      </c>
      <c r="BV94">
        <v>88</v>
      </c>
      <c r="BW94">
        <v>180</v>
      </c>
      <c r="BX94">
        <v>142</v>
      </c>
      <c r="BY94">
        <v>143</v>
      </c>
      <c r="BZ94">
        <v>189</v>
      </c>
      <c r="CA94">
        <v>148</v>
      </c>
      <c r="CB94" t="s">
        <v>162</v>
      </c>
    </row>
    <row r="95" spans="2:80" ht="43.2" x14ac:dyDescent="0.3">
      <c r="B95" s="50" t="s">
        <v>38</v>
      </c>
      <c r="C95" s="10"/>
      <c r="D95" s="10"/>
      <c r="E95" s="53"/>
      <c r="F95" s="39"/>
      <c r="G95" s="39"/>
      <c r="H95" s="39"/>
      <c r="R95" s="1" t="s">
        <v>183</v>
      </c>
      <c r="S95" s="1" t="s">
        <v>184</v>
      </c>
      <c r="T95" s="1"/>
      <c r="U95" s="1"/>
      <c r="V95" s="1"/>
      <c r="W95" s="1"/>
      <c r="AF95" s="1" t="s">
        <v>387</v>
      </c>
      <c r="AG95" s="119" t="s">
        <v>67</v>
      </c>
      <c r="AH95" s="1" t="s">
        <v>73</v>
      </c>
      <c r="AI95" s="119" t="s">
        <v>68</v>
      </c>
      <c r="AJ95" s="119" t="s">
        <v>63</v>
      </c>
      <c r="AK95" s="29" t="s">
        <v>388</v>
      </c>
      <c r="AL95" s="1" t="s">
        <v>181</v>
      </c>
      <c r="AM95" s="1" t="s">
        <v>73</v>
      </c>
      <c r="AN95" s="64" t="s">
        <v>182</v>
      </c>
      <c r="AO95" s="1" t="s">
        <v>389</v>
      </c>
      <c r="AP95" s="1" t="s">
        <v>181</v>
      </c>
      <c r="AQ95" s="119" t="s">
        <v>69</v>
      </c>
      <c r="AR95" s="1" t="s">
        <v>73</v>
      </c>
      <c r="AS95" s="1" t="s">
        <v>181</v>
      </c>
      <c r="AT95" s="1" t="s">
        <v>73</v>
      </c>
      <c r="AU95" s="1" t="s">
        <v>73</v>
      </c>
      <c r="AV95" s="1" t="s">
        <v>73</v>
      </c>
      <c r="AW95" s="119" t="s">
        <v>258</v>
      </c>
      <c r="AX95" s="1"/>
      <c r="BJ95" s="1" t="s">
        <v>180</v>
      </c>
      <c r="BK95" s="1" t="s">
        <v>54</v>
      </c>
      <c r="BL95" s="65" t="s">
        <v>214</v>
      </c>
      <c r="BM95" s="65" t="s">
        <v>214</v>
      </c>
      <c r="BN95" s="65" t="s">
        <v>214</v>
      </c>
      <c r="BO95" s="1" t="s">
        <v>51</v>
      </c>
      <c r="BP95" s="1" t="s">
        <v>53</v>
      </c>
      <c r="BQ95" s="1" t="s">
        <v>61</v>
      </c>
      <c r="BR95" s="65" t="s">
        <v>214</v>
      </c>
      <c r="BS95" s="65" t="s">
        <v>214</v>
      </c>
      <c r="BT95" s="65" t="s">
        <v>214</v>
      </c>
      <c r="BU95" s="65" t="s">
        <v>214</v>
      </c>
      <c r="BV95" s="65" t="s">
        <v>214</v>
      </c>
      <c r="BW95" s="29" t="s">
        <v>388</v>
      </c>
      <c r="BX95" s="65" t="s">
        <v>214</v>
      </c>
      <c r="BY95" s="1" t="s">
        <v>266</v>
      </c>
      <c r="BZ95" s="65" t="s">
        <v>214</v>
      </c>
      <c r="CA95" s="1"/>
      <c r="CB95" s="1"/>
    </row>
    <row r="96" spans="2:80" ht="28.8" x14ac:dyDescent="0.3">
      <c r="B96" s="48" t="s">
        <v>39</v>
      </c>
      <c r="C96" s="10" t="str">
        <f>X102</f>
        <v>1.89,  (1.26 , 2.12), 5</v>
      </c>
      <c r="D96" s="10" t="str">
        <f>AB102</f>
        <v>3.1,  (2.46 , 3.52), 5</v>
      </c>
      <c r="E96" s="53"/>
      <c r="F96" s="39"/>
      <c r="G96" s="39"/>
      <c r="H96" s="39"/>
      <c r="R96">
        <f>MEDIAN(AG96:AU96)</f>
        <v>-7</v>
      </c>
      <c r="S96">
        <f>AVERAGE(AG96:AU96)</f>
        <v>-1</v>
      </c>
      <c r="AF96" s="1" t="s">
        <v>390</v>
      </c>
      <c r="AG96">
        <f>AG94-BS94</f>
        <v>-11</v>
      </c>
      <c r="AH96" t="s">
        <v>73</v>
      </c>
      <c r="AI96">
        <f>AI94-BT94</f>
        <v>22</v>
      </c>
      <c r="AJ96">
        <f>AJ94-BO94</f>
        <v>-3</v>
      </c>
      <c r="AK96" s="63" t="s">
        <v>162</v>
      </c>
      <c r="AL96" t="s">
        <v>73</v>
      </c>
      <c r="AM96" t="s">
        <v>73</v>
      </c>
      <c r="AO96" t="s">
        <v>73</v>
      </c>
      <c r="AP96" t="s">
        <v>73</v>
      </c>
      <c r="AQ96">
        <f>AQ94-BU94</f>
        <v>-12</v>
      </c>
      <c r="AR96" t="s">
        <v>73</v>
      </c>
      <c r="AS96" t="s">
        <v>73</v>
      </c>
      <c r="AT96" t="s">
        <v>73</v>
      </c>
      <c r="AU96" t="s">
        <v>73</v>
      </c>
      <c r="AV96" t="s">
        <v>73</v>
      </c>
      <c r="AW96">
        <f>AW94-CC94</f>
        <v>151</v>
      </c>
      <c r="BJ96" s="1" t="s">
        <v>185</v>
      </c>
    </row>
    <row r="97" spans="2:80" x14ac:dyDescent="0.3">
      <c r="B97" s="48" t="s">
        <v>40</v>
      </c>
      <c r="C97" s="10" t="str">
        <f>X103</f>
        <v>1.76,  (1.37 , 1.85), 4</v>
      </c>
      <c r="D97" s="10" t="str">
        <f>AB103</f>
        <v>2.13,  (0.98 , 2.37), 4</v>
      </c>
      <c r="E97" s="53"/>
      <c r="F97" s="39"/>
      <c r="G97" s="39"/>
      <c r="H97" s="39"/>
      <c r="S97" s="38" t="s">
        <v>218</v>
      </c>
      <c r="T97" s="38"/>
      <c r="U97" s="38"/>
      <c r="V97" s="38"/>
      <c r="W97" s="38"/>
      <c r="AF97" s="1" t="s">
        <v>391</v>
      </c>
      <c r="AG97" s="7">
        <v>44949</v>
      </c>
      <c r="AH97" t="s">
        <v>73</v>
      </c>
      <c r="AI97" s="7">
        <v>44949</v>
      </c>
      <c r="AJ97" s="7">
        <v>44949</v>
      </c>
      <c r="AK97" s="7">
        <v>44995</v>
      </c>
      <c r="AL97" t="s">
        <v>73</v>
      </c>
      <c r="AM97" t="s">
        <v>73</v>
      </c>
      <c r="AO97" t="s">
        <v>73</v>
      </c>
      <c r="AP97" t="s">
        <v>73</v>
      </c>
      <c r="AQ97" s="7">
        <v>44949</v>
      </c>
      <c r="AR97" t="s">
        <v>73</v>
      </c>
      <c r="AS97" t="s">
        <v>73</v>
      </c>
      <c r="AT97" t="s">
        <v>73</v>
      </c>
      <c r="AU97" t="s">
        <v>73</v>
      </c>
      <c r="AV97" t="s">
        <v>73</v>
      </c>
      <c r="AW97" s="7">
        <v>44979</v>
      </c>
      <c r="BJ97" s="1" t="s">
        <v>186</v>
      </c>
      <c r="BK97" s="7">
        <v>44949</v>
      </c>
      <c r="BO97" s="7">
        <v>44949</v>
      </c>
      <c r="BP97" s="7">
        <v>44949</v>
      </c>
      <c r="BQ97" s="7">
        <v>44949</v>
      </c>
      <c r="BS97" s="7">
        <v>44949</v>
      </c>
    </row>
    <row r="98" spans="2:80" x14ac:dyDescent="0.3">
      <c r="B98" s="50" t="s">
        <v>41</v>
      </c>
      <c r="C98" s="10"/>
      <c r="D98" s="10"/>
      <c r="E98" s="53"/>
      <c r="F98" s="39"/>
      <c r="G98" s="39"/>
      <c r="H98" s="39"/>
      <c r="S98" t="s">
        <v>219</v>
      </c>
    </row>
    <row r="99" spans="2:80" x14ac:dyDescent="0.3">
      <c r="B99" s="48" t="s">
        <v>39</v>
      </c>
      <c r="C99" s="10" t="str">
        <f t="shared" ref="C99:C100" si="3">X105</f>
        <v>1.74,  (1.41 , 1.88), 1</v>
      </c>
      <c r="D99" s="10" t="str">
        <f t="shared" ref="D99:D100" si="4">AB105</f>
        <v>1.55,  (1.01 , 2.61), 1</v>
      </c>
      <c r="E99" s="53"/>
      <c r="F99" s="39"/>
      <c r="G99" s="39"/>
      <c r="H99" s="39"/>
      <c r="R99" s="28" t="s">
        <v>178</v>
      </c>
      <c r="S99" t="s">
        <v>215</v>
      </c>
    </row>
    <row r="100" spans="2:80" x14ac:dyDescent="0.3">
      <c r="B100" s="48" t="s">
        <v>40</v>
      </c>
      <c r="C100" s="10" t="str">
        <f t="shared" si="3"/>
        <v>2.03,  (1.95 , 2.11), 1</v>
      </c>
      <c r="D100" s="10" t="str">
        <f t="shared" si="4"/>
        <v>1.47,  (1.08 , 1.61), 1</v>
      </c>
      <c r="E100" s="53"/>
      <c r="F100" s="39"/>
      <c r="G100" s="39"/>
      <c r="H100" s="39"/>
      <c r="S100" t="s">
        <v>259</v>
      </c>
      <c r="T100" t="s">
        <v>260</v>
      </c>
      <c r="U100" t="s">
        <v>259</v>
      </c>
      <c r="V100" t="s">
        <v>260</v>
      </c>
      <c r="W100" s="28"/>
      <c r="AF100" s="49" t="s">
        <v>74</v>
      </c>
      <c r="BJ100" s="49" t="s">
        <v>74</v>
      </c>
    </row>
    <row r="101" spans="2:80" ht="15" thickBot="1" x14ac:dyDescent="0.35">
      <c r="B101" s="51"/>
      <c r="C101" s="55"/>
      <c r="D101" s="55"/>
      <c r="E101" s="56"/>
      <c r="F101" s="39"/>
      <c r="G101" s="39"/>
      <c r="H101" s="39"/>
      <c r="AF101" s="50" t="s">
        <v>38</v>
      </c>
      <c r="BJ101" s="50" t="s">
        <v>38</v>
      </c>
    </row>
    <row r="102" spans="2:80" x14ac:dyDescent="0.3">
      <c r="P102" t="s">
        <v>233</v>
      </c>
      <c r="Q102">
        <f>_xlfn.T.TEST(AG102:BF102,BK102:CI102,2,2)</f>
        <v>5.6982132667968484E-2</v>
      </c>
      <c r="R102" t="s">
        <v>171</v>
      </c>
      <c r="S102" s="39">
        <v>5</v>
      </c>
      <c r="T102" s="39">
        <v>10</v>
      </c>
      <c r="U102" s="39">
        <v>5</v>
      </c>
      <c r="V102" s="39">
        <v>9</v>
      </c>
      <c r="W102" s="68"/>
      <c r="X102" t="str">
        <f>CONCATENATE(TRUNC(Y102,2), ",  (", TRUNC(Z102,2), " , ", TRUNC(AA102,2), "), ", S102)</f>
        <v>1.89,  (1.26 , 2.12), 5</v>
      </c>
      <c r="Y102">
        <f>MEDIAN(AG102:BF102)</f>
        <v>1.8963994785513201</v>
      </c>
      <c r="Z102">
        <f>_xlfn.PERCENTILE.INC(AG102:BF102, 0.25)</f>
        <v>1.2682005701616701</v>
      </c>
      <c r="AA102">
        <f>_xlfn.PERCENTILE.INC(AG102:BF102, 0.75)</f>
        <v>2.1215017210032299</v>
      </c>
      <c r="AB102" t="str">
        <f>CONCATENATE(TRUNC(AC102,2), ",  (", TRUNC(AD102,2), " , ", TRUNC(AE102,2), "), ", U102)</f>
        <v>3.1,  (2.46 , 3.52), 5</v>
      </c>
      <c r="AC102">
        <f>MEDIAN(BK102:CI102)</f>
        <v>3.1056485719609048</v>
      </c>
      <c r="AD102">
        <f>_xlfn.PERCENTILE.INC(BK102:CI102, 0.25)</f>
        <v>2.4688287167100578</v>
      </c>
      <c r="AE102">
        <f>_xlfn.PERCENTILE.INC(BK102:CI102, 0.75)</f>
        <v>3.5223585732738627</v>
      </c>
      <c r="AF102" s="48" t="s">
        <v>39</v>
      </c>
      <c r="AG102" s="58">
        <v>2.8195488086367302</v>
      </c>
      <c r="AH102" s="59" t="s">
        <v>162</v>
      </c>
      <c r="AI102" s="58">
        <v>1.0353460761712401</v>
      </c>
      <c r="AJ102" s="60">
        <v>1.2682005701616701</v>
      </c>
      <c r="AK102" s="63" t="s">
        <v>162</v>
      </c>
      <c r="AL102" s="59" t="s">
        <v>162</v>
      </c>
      <c r="AM102" s="58" t="s">
        <v>162</v>
      </c>
      <c r="AN102" s="63" t="s">
        <v>162</v>
      </c>
      <c r="AO102" s="61" t="s">
        <v>162</v>
      </c>
      <c r="AP102" s="61" t="s">
        <v>162</v>
      </c>
      <c r="AQ102">
        <v>1.8963994785513201</v>
      </c>
      <c r="AR102" s="58" t="s">
        <v>162</v>
      </c>
      <c r="AS102" s="61" t="s">
        <v>162</v>
      </c>
      <c r="AT102" s="58" t="s">
        <v>162</v>
      </c>
      <c r="AU102" s="58" t="s">
        <v>162</v>
      </c>
      <c r="AV102" s="58" t="s">
        <v>162</v>
      </c>
      <c r="AW102" s="116">
        <v>2.1215017210032299</v>
      </c>
      <c r="BJ102" s="48" t="s">
        <v>39</v>
      </c>
      <c r="BK102" s="58">
        <v>2.2898171326099801</v>
      </c>
      <c r="BL102" s="62" t="s">
        <v>162</v>
      </c>
      <c r="BM102" s="62" t="s">
        <v>162</v>
      </c>
      <c r="BN102" s="60" t="s">
        <v>162</v>
      </c>
      <c r="BO102" s="58">
        <v>4.0945895135836201</v>
      </c>
      <c r="BP102" s="58">
        <v>1.4709913135435499</v>
      </c>
      <c r="BQ102" s="58">
        <v>3.2054336749115202</v>
      </c>
      <c r="BR102" s="62" t="s">
        <v>162</v>
      </c>
      <c r="BS102" s="62" t="s">
        <v>162</v>
      </c>
      <c r="BT102" s="62" t="s">
        <v>162</v>
      </c>
      <c r="BU102" s="62" t="s">
        <v>162</v>
      </c>
      <c r="BV102" s="62" t="s">
        <v>162</v>
      </c>
      <c r="BW102" s="62" t="s">
        <v>162</v>
      </c>
      <c r="BX102" s="59" t="s">
        <v>162</v>
      </c>
      <c r="BY102" s="116">
        <v>3.6280002060613099</v>
      </c>
      <c r="BZ102" s="62" t="s">
        <v>162</v>
      </c>
      <c r="CA102" s="116">
        <v>3.0058634690102899</v>
      </c>
      <c r="CB102" t="s">
        <v>162</v>
      </c>
    </row>
    <row r="103" spans="2:80" x14ac:dyDescent="0.3">
      <c r="P103" t="s">
        <v>173</v>
      </c>
      <c r="Q103">
        <f>_xlfn.T.TEST(AG103:BF103,BK103:CI103,2,2)</f>
        <v>0.57976122016826048</v>
      </c>
      <c r="R103" t="s">
        <v>171</v>
      </c>
      <c r="S103" s="39">
        <v>4</v>
      </c>
      <c r="T103" s="39">
        <v>10</v>
      </c>
      <c r="U103" s="39">
        <v>4</v>
      </c>
      <c r="V103" s="39">
        <v>9</v>
      </c>
      <c r="W103" s="68"/>
      <c r="X103" t="str">
        <f t="shared" ref="X103:X106" si="5">CONCATENATE(TRUNC(Y103,2), ",  (", TRUNC(Z103,2), " , ", TRUNC(AA103,2), "), ", S103)</f>
        <v>1.76,  (1.37 , 1.85), 4</v>
      </c>
      <c r="Y103">
        <f>MEDIAN(AG103:BF103)</f>
        <v>1.7655404843806799</v>
      </c>
      <c r="Z103">
        <f>_xlfn.PERCENTILE.INC(AG103:BF103, 0.25)</f>
        <v>1.37572067569113</v>
      </c>
      <c r="AA103">
        <f>_xlfn.PERCENTILE.INC(AG103:BF103, 0.75)</f>
        <v>1.85086824941409</v>
      </c>
      <c r="AB103" t="str">
        <f t="shared" ref="AB103:AB106" si="6">CONCATENATE(TRUNC(AC103,2), ",  (", TRUNC(AD103,2), " , ", TRUNC(AE103,2), "), ", U103)</f>
        <v>2.13,  (0.98 , 2.37), 4</v>
      </c>
      <c r="AC103">
        <f>MEDIAN(BK103:CI103)</f>
        <v>2.1313729715246401</v>
      </c>
      <c r="AD103">
        <f>_xlfn.PERCENTILE.INC(BK103:CI103, 0.25)</f>
        <v>0.98223465597004855</v>
      </c>
      <c r="AE103">
        <f>_xlfn.PERCENTILE.INC(BK103:CI103, 0.75)</f>
        <v>2.3755160581467152</v>
      </c>
      <c r="AF103" s="48" t="s">
        <v>40</v>
      </c>
      <c r="AG103" s="58">
        <v>1.92065960521003</v>
      </c>
      <c r="AH103" s="59" t="s">
        <v>162</v>
      </c>
      <c r="AI103" s="58">
        <v>1.85086824941409</v>
      </c>
      <c r="AJ103" s="58">
        <v>1.37572067569113</v>
      </c>
      <c r="AK103" s="59" t="s">
        <v>162</v>
      </c>
      <c r="AL103" s="59" t="s">
        <v>162</v>
      </c>
      <c r="AM103" s="58" t="s">
        <v>162</v>
      </c>
      <c r="AN103" s="61" t="s">
        <v>162</v>
      </c>
      <c r="AO103" s="61" t="s">
        <v>162</v>
      </c>
      <c r="AP103" s="61" t="s">
        <v>162</v>
      </c>
      <c r="AQ103">
        <v>1.7655404843806799</v>
      </c>
      <c r="AR103" s="58" t="s">
        <v>162</v>
      </c>
      <c r="AS103" s="61" t="s">
        <v>162</v>
      </c>
      <c r="AT103" s="58" t="s">
        <v>162</v>
      </c>
      <c r="AU103" s="58" t="s">
        <v>162</v>
      </c>
      <c r="AV103" s="58" t="s">
        <v>162</v>
      </c>
      <c r="AW103" s="116">
        <v>0.96979518498437101</v>
      </c>
      <c r="BJ103" s="48" t="s">
        <v>40</v>
      </c>
      <c r="BK103" s="58">
        <v>1.11700846174386</v>
      </c>
      <c r="BL103" s="62" t="s">
        <v>162</v>
      </c>
      <c r="BM103" s="62" t="s">
        <v>162</v>
      </c>
      <c r="BN103" s="62" t="s">
        <v>162</v>
      </c>
      <c r="BO103" s="58">
        <v>2.2407940760098302</v>
      </c>
      <c r="BP103" s="58">
        <v>2.0313435100000001</v>
      </c>
      <c r="BQ103" s="58">
        <v>2.7796820045573698</v>
      </c>
      <c r="BR103" s="62" t="s">
        <v>162</v>
      </c>
      <c r="BS103" s="62" t="s">
        <v>162</v>
      </c>
      <c r="BT103" s="62" t="s">
        <v>162</v>
      </c>
      <c r="BU103" s="62" t="s">
        <v>162</v>
      </c>
      <c r="BV103" s="62" t="s">
        <v>162</v>
      </c>
      <c r="BW103" s="59" t="s">
        <v>162</v>
      </c>
      <c r="BX103" s="58">
        <v>0.57791323864861399</v>
      </c>
      <c r="BY103" s="116">
        <v>3.2902077967872501</v>
      </c>
      <c r="BZ103" s="116">
        <v>0.53421048616304501</v>
      </c>
      <c r="CA103" s="116">
        <v>2.2314024330492801</v>
      </c>
      <c r="CB103" t="s">
        <v>162</v>
      </c>
    </row>
    <row r="104" spans="2:80" x14ac:dyDescent="0.3">
      <c r="AF104" s="50" t="s">
        <v>41</v>
      </c>
      <c r="AN104" s="63" t="s">
        <v>162</v>
      </c>
      <c r="BJ104" s="50" t="s">
        <v>41</v>
      </c>
    </row>
    <row r="105" spans="2:80" x14ac:dyDescent="0.3">
      <c r="P105" t="s">
        <v>172</v>
      </c>
      <c r="Q105">
        <f>_xlfn.T.TEST(AG105:BF105,BK105:CI105,2,2)</f>
        <v>0.78487548785364369</v>
      </c>
      <c r="R105" t="s">
        <v>171</v>
      </c>
      <c r="S105" s="39">
        <v>1</v>
      </c>
      <c r="T105" s="39">
        <v>7</v>
      </c>
      <c r="U105" s="39">
        <v>1</v>
      </c>
      <c r="V105" s="39">
        <v>3</v>
      </c>
      <c r="W105" s="68"/>
      <c r="X105" t="str">
        <f t="shared" si="5"/>
        <v>1.74,  (1.41 , 1.88), 1</v>
      </c>
      <c r="Y105">
        <f>MEDIAN(AG105:BF105)</f>
        <v>1.7405020880969599</v>
      </c>
      <c r="Z105">
        <f>_xlfn.PERCENTILE.INC(AG105:BF105, 0.25)</f>
        <v>1.4161592237265099</v>
      </c>
      <c r="AA105">
        <f>_xlfn.PERCENTILE.INC(AG105:BF105, 0.75)</f>
        <v>1.8837692386865601</v>
      </c>
      <c r="AB105" t="str">
        <f t="shared" si="6"/>
        <v>1.55,  (1.01 , 2.61), 1</v>
      </c>
      <c r="AC105">
        <f>MEDIAN(BK105:CI105)</f>
        <v>1.55389702055308</v>
      </c>
      <c r="AD105">
        <f>_xlfn.PERCENTILE.INC(BK105:CI105, 0.25)</f>
        <v>1.0148573292651475</v>
      </c>
      <c r="AE105">
        <f>_xlfn.PERCENTILE.INC(BK105:CI105, 0.75)</f>
        <v>2.617188223854765</v>
      </c>
      <c r="AF105" s="48" t="s">
        <v>39</v>
      </c>
      <c r="AG105" t="s">
        <v>162</v>
      </c>
      <c r="AH105" t="s">
        <v>162</v>
      </c>
      <c r="AI105" t="s">
        <v>162</v>
      </c>
      <c r="AJ105" t="s">
        <v>162</v>
      </c>
      <c r="AK105" s="59" t="s">
        <v>162</v>
      </c>
      <c r="AL105" s="58">
        <v>1.4161592237265099</v>
      </c>
      <c r="AM105" s="58" t="s">
        <v>162</v>
      </c>
      <c r="AN105" s="58">
        <v>1.7405020880969599</v>
      </c>
      <c r="AO105" s="59" t="s">
        <v>162</v>
      </c>
      <c r="AP105" s="59" t="s">
        <v>162</v>
      </c>
      <c r="AQ105" s="58">
        <v>1.40354475865929</v>
      </c>
      <c r="AR105" s="58" t="s">
        <v>162</v>
      </c>
      <c r="AS105" s="58">
        <v>1.8837692386865601</v>
      </c>
      <c r="AT105" s="58" t="s">
        <v>162</v>
      </c>
      <c r="AU105" s="58" t="s">
        <v>162</v>
      </c>
      <c r="AV105" s="58" t="s">
        <v>162</v>
      </c>
      <c r="AW105" s="116">
        <v>2.2784577091748002</v>
      </c>
      <c r="BJ105" s="48" t="s">
        <v>39</v>
      </c>
      <c r="BK105" t="s">
        <v>162</v>
      </c>
      <c r="BL105" t="s">
        <v>162</v>
      </c>
      <c r="BM105" t="s">
        <v>162</v>
      </c>
      <c r="BN105" t="s">
        <v>162</v>
      </c>
      <c r="BO105" t="s">
        <v>162</v>
      </c>
      <c r="BP105" t="s">
        <v>162</v>
      </c>
      <c r="BQ105" t="s">
        <v>162</v>
      </c>
      <c r="BR105" t="s">
        <v>162</v>
      </c>
      <c r="BS105" s="58">
        <v>0.89316309394488103</v>
      </c>
      <c r="BT105" s="116">
        <v>2.72033210885757</v>
      </c>
      <c r="BU105" s="58">
        <v>2.51404433885196</v>
      </c>
      <c r="BV105" s="58">
        <v>3.4387836114208898</v>
      </c>
      <c r="BW105" s="59" t="s">
        <v>162</v>
      </c>
      <c r="BX105" s="58">
        <v>0.90489098867090501</v>
      </c>
      <c r="BY105" s="59" t="s">
        <v>162</v>
      </c>
      <c r="BZ105" s="116">
        <v>1.1248236698593901</v>
      </c>
      <c r="CA105" s="116">
        <v>1.55389702055308</v>
      </c>
      <c r="CB105" t="s">
        <v>162</v>
      </c>
    </row>
    <row r="106" spans="2:80" x14ac:dyDescent="0.3">
      <c r="P106" t="s">
        <v>172</v>
      </c>
      <c r="Q106">
        <f>_xlfn.T.TEST(AG106:BF106,BK106:CI106,2,2)</f>
        <v>0.24753485956738353</v>
      </c>
      <c r="R106" t="s">
        <v>171</v>
      </c>
      <c r="S106" s="39">
        <v>1</v>
      </c>
      <c r="T106" s="39">
        <v>7</v>
      </c>
      <c r="U106" s="39">
        <v>1</v>
      </c>
      <c r="V106" s="39">
        <v>3</v>
      </c>
      <c r="W106" s="68"/>
      <c r="X106" t="str">
        <f t="shared" si="5"/>
        <v>2.03,  (1.95 , 2.11), 1</v>
      </c>
      <c r="Y106">
        <f>MEDIAN(AG106:BF106)</f>
        <v>2.03522409276863</v>
      </c>
      <c r="Z106">
        <f>_xlfn.PERCENTILE.INC(AG106:BF106, 0.25)</f>
        <v>1.9550138213741151</v>
      </c>
      <c r="AA106">
        <f>_xlfn.PERCENTILE.INC(AG106:BF106, 0.75)</f>
        <v>2.115434364163145</v>
      </c>
      <c r="AB106" t="str">
        <f t="shared" si="6"/>
        <v>1.47,  (1.08 , 1.61), 1</v>
      </c>
      <c r="AC106">
        <f>MEDIAN(BK106:CI106)</f>
        <v>1.47958805400294</v>
      </c>
      <c r="AD106">
        <f>_xlfn.PERCENTILE.INC(BK106:CI106, 0.25)</f>
        <v>1.0890118619621401</v>
      </c>
      <c r="AE106">
        <f>_xlfn.PERCENTILE.INC(BK106:CI106, 0.75)</f>
        <v>1.619084691901935</v>
      </c>
      <c r="AF106" s="48" t="s">
        <v>40</v>
      </c>
      <c r="AG106" t="s">
        <v>162</v>
      </c>
      <c r="AH106" t="s">
        <v>162</v>
      </c>
      <c r="AI106" t="s">
        <v>162</v>
      </c>
      <c r="AJ106" t="s">
        <v>162</v>
      </c>
      <c r="AK106" s="59" t="s">
        <v>162</v>
      </c>
      <c r="AL106" s="59" t="s">
        <v>162</v>
      </c>
      <c r="AM106" s="58" t="s">
        <v>162</v>
      </c>
      <c r="AN106" s="61" t="s">
        <v>162</v>
      </c>
      <c r="AO106" s="59" t="s">
        <v>162</v>
      </c>
      <c r="AP106" s="59" t="s">
        <v>162</v>
      </c>
      <c r="AQ106" s="58">
        <v>1.8748035499796001</v>
      </c>
      <c r="AR106" s="58" t="s">
        <v>162</v>
      </c>
      <c r="AS106" s="61" t="s">
        <v>162</v>
      </c>
      <c r="AT106" s="58" t="s">
        <v>162</v>
      </c>
      <c r="AU106" s="58" t="s">
        <v>162</v>
      </c>
      <c r="AV106" s="58" t="s">
        <v>162</v>
      </c>
      <c r="AW106" s="116">
        <v>2.19564463555766</v>
      </c>
      <c r="BJ106" s="48" t="s">
        <v>40</v>
      </c>
      <c r="BK106" t="s">
        <v>162</v>
      </c>
      <c r="BL106" t="s">
        <v>162</v>
      </c>
      <c r="BM106" t="s">
        <v>162</v>
      </c>
      <c r="BN106" t="s">
        <v>162</v>
      </c>
      <c r="BO106" t="s">
        <v>162</v>
      </c>
      <c r="BP106" t="s">
        <v>162</v>
      </c>
      <c r="BQ106" t="s">
        <v>162</v>
      </c>
      <c r="BR106" t="s">
        <v>162</v>
      </c>
      <c r="BS106" s="58">
        <v>0.52535944249941502</v>
      </c>
      <c r="BT106" s="116">
        <v>1.35482418737221</v>
      </c>
      <c r="BU106" s="58">
        <v>1.70075307373037</v>
      </c>
      <c r="BV106" s="58">
        <v>2.5404880981468598</v>
      </c>
      <c r="BW106" s="62" t="s">
        <v>162</v>
      </c>
      <c r="BX106" s="58">
        <v>1.47958805400294</v>
      </c>
      <c r="BY106" s="58">
        <v>0.82319953655207001</v>
      </c>
      <c r="BZ106" s="59" t="s">
        <v>162</v>
      </c>
      <c r="CA106" s="116">
        <v>1.5374163100735001</v>
      </c>
      <c r="CB106" t="s">
        <v>162</v>
      </c>
    </row>
    <row r="107" spans="2:80" x14ac:dyDescent="0.3">
      <c r="AQ107" t="s">
        <v>231</v>
      </c>
    </row>
  </sheetData>
  <mergeCells count="8">
    <mergeCell ref="C14:D14"/>
    <mergeCell ref="E14:F14"/>
    <mergeCell ref="B61:D61"/>
    <mergeCell ref="B62:D62"/>
    <mergeCell ref="B49:D49"/>
    <mergeCell ref="B50:D50"/>
    <mergeCell ref="C24:D24"/>
    <mergeCell ref="E24:F24"/>
  </mergeCells>
  <pageMargins left="0.7" right="0.7" top="0.75" bottom="0.75" header="0.3" footer="0.3"/>
  <pageSetup scale="1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8C579-26AB-460E-A67C-335BCE09D868}">
  <sheetPr>
    <pageSetUpPr fitToPage="1"/>
  </sheetPr>
  <dimension ref="B1:CJ100"/>
  <sheetViews>
    <sheetView zoomScale="85" zoomScaleNormal="85" workbookViewId="0">
      <pane xSplit="2" ySplit="7" topLeftCell="C30" activePane="bottomRight" state="frozen"/>
      <selection pane="topRight" activeCell="B1" sqref="B1"/>
      <selection pane="bottomLeft" activeCell="E23" sqref="E23"/>
      <selection pane="bottomRight" activeCell="C48" sqref="C48"/>
    </sheetView>
  </sheetViews>
  <sheetFormatPr defaultRowHeight="14.4" x14ac:dyDescent="0.3"/>
  <cols>
    <col min="1" max="1" width="5.44140625" customWidth="1"/>
    <col min="2" max="2" width="25.5546875" customWidth="1"/>
    <col min="3" max="3" width="20.88671875" customWidth="1"/>
    <col min="4" max="4" width="22.44140625" customWidth="1"/>
    <col min="5" max="5" width="22.6640625" customWidth="1"/>
    <col min="6" max="6" width="22.44140625" customWidth="1"/>
    <col min="7" max="8" width="22.6640625" customWidth="1"/>
    <col min="9" max="9" width="12.6640625" customWidth="1"/>
    <col min="10" max="10" width="18.6640625" customWidth="1"/>
    <col min="11" max="11" width="12.6640625" customWidth="1"/>
    <col min="12" max="12" width="27.6640625" customWidth="1"/>
    <col min="13" max="14" width="12.6640625" customWidth="1"/>
    <col min="15" max="15" width="32.88671875" customWidth="1"/>
    <col min="16" max="20" width="12.6640625" customWidth="1"/>
    <col min="21" max="21" width="26" customWidth="1"/>
    <col min="22" max="24" width="12.6640625" customWidth="1"/>
    <col min="25" max="25" width="26.109375" customWidth="1"/>
    <col min="26" max="28" width="12.6640625" customWidth="1"/>
    <col min="29" max="29" width="28.33203125" customWidth="1"/>
    <col min="30" max="58" width="12.6640625" customWidth="1"/>
    <col min="59" max="59" width="23.109375" customWidth="1"/>
    <col min="60" max="87" width="12.6640625" customWidth="1"/>
  </cols>
  <sheetData>
    <row r="1" spans="2:88" x14ac:dyDescent="0.3">
      <c r="B1" t="s">
        <v>42</v>
      </c>
      <c r="I1" s="11" t="s">
        <v>47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2"/>
      <c r="W1" s="12"/>
      <c r="X1" s="12"/>
      <c r="Y1" s="12"/>
      <c r="Z1" s="12"/>
      <c r="AA1" s="12"/>
      <c r="AB1" s="12"/>
      <c r="AD1" s="13" t="s">
        <v>48</v>
      </c>
      <c r="AE1" s="13"/>
      <c r="AF1" s="13"/>
      <c r="AG1" s="13"/>
    </row>
    <row r="2" spans="2:88" x14ac:dyDescent="0.3">
      <c r="B2" s="7">
        <v>44987</v>
      </c>
    </row>
    <row r="3" spans="2:88" x14ac:dyDescent="0.3">
      <c r="AD3" s="14"/>
      <c r="AE3" s="15" t="s">
        <v>49</v>
      </c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G3" s="16"/>
      <c r="BH3" s="17"/>
      <c r="BI3" s="17"/>
      <c r="BJ3" s="17"/>
      <c r="BK3" s="17"/>
      <c r="BL3" s="18" t="s">
        <v>50</v>
      </c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</row>
    <row r="4" spans="2:88" x14ac:dyDescent="0.3">
      <c r="BG4" s="16"/>
    </row>
    <row r="5" spans="2:88" ht="43.2" x14ac:dyDescent="0.3">
      <c r="F5" s="1"/>
      <c r="G5" s="1"/>
      <c r="AC5" t="s">
        <v>96</v>
      </c>
      <c r="AD5" s="1" t="s">
        <v>51</v>
      </c>
      <c r="AE5" s="1" t="s">
        <v>52</v>
      </c>
      <c r="AF5" s="1" t="s">
        <v>53</v>
      </c>
      <c r="AG5" s="1" t="s">
        <v>54</v>
      </c>
      <c r="AH5" s="1" t="s">
        <v>55</v>
      </c>
      <c r="AI5" s="1" t="s">
        <v>56</v>
      </c>
      <c r="AJ5" s="1" t="s">
        <v>97</v>
      </c>
      <c r="AK5" s="29" t="s">
        <v>98</v>
      </c>
      <c r="AL5" s="29" t="s">
        <v>99</v>
      </c>
      <c r="AM5" s="29" t="s">
        <v>100</v>
      </c>
      <c r="AN5" s="29" t="s">
        <v>101</v>
      </c>
      <c r="AO5" s="29" t="s">
        <v>102</v>
      </c>
      <c r="AP5" s="29" t="s">
        <v>103</v>
      </c>
      <c r="AQ5" s="29" t="s">
        <v>104</v>
      </c>
      <c r="AR5" s="1" t="s">
        <v>105</v>
      </c>
      <c r="AS5" s="1" t="s">
        <v>106</v>
      </c>
      <c r="AT5" s="1" t="s">
        <v>107</v>
      </c>
      <c r="AU5" s="1" t="s">
        <v>108</v>
      </c>
      <c r="AV5" s="1" t="s">
        <v>109</v>
      </c>
      <c r="AW5" s="1" t="s">
        <v>110</v>
      </c>
      <c r="AX5" s="1" t="s">
        <v>111</v>
      </c>
      <c r="AY5" s="1" t="s">
        <v>112</v>
      </c>
      <c r="AZ5" s="1" t="s">
        <v>113</v>
      </c>
      <c r="BA5" s="1" t="s">
        <v>114</v>
      </c>
      <c r="BB5" s="1" t="s">
        <v>115</v>
      </c>
      <c r="BC5" s="1" t="s">
        <v>116</v>
      </c>
      <c r="BD5" s="1"/>
      <c r="BF5" s="30" t="s">
        <v>117</v>
      </c>
      <c r="BG5" s="16"/>
      <c r="BP5" s="29" t="s">
        <v>118</v>
      </c>
      <c r="BQ5" s="31" t="s">
        <v>119</v>
      </c>
      <c r="BR5" s="31" t="s">
        <v>120</v>
      </c>
      <c r="BS5" s="31" t="s">
        <v>121</v>
      </c>
      <c r="BT5" s="32" t="s">
        <v>122</v>
      </c>
      <c r="BU5" s="32" t="s">
        <v>123</v>
      </c>
      <c r="BV5" s="31" t="s">
        <v>258</v>
      </c>
      <c r="BW5" s="31" t="s">
        <v>267</v>
      </c>
      <c r="BX5" s="31" t="s">
        <v>268</v>
      </c>
      <c r="BY5" s="92" t="s">
        <v>269</v>
      </c>
      <c r="BZ5" s="33" t="s">
        <v>128</v>
      </c>
      <c r="CA5" s="33" t="s">
        <v>129</v>
      </c>
      <c r="CB5" s="33" t="s">
        <v>130</v>
      </c>
      <c r="CC5" s="33" t="s">
        <v>131</v>
      </c>
      <c r="CD5" s="33" t="s">
        <v>132</v>
      </c>
      <c r="CE5" s="33" t="s">
        <v>133</v>
      </c>
      <c r="CF5" s="33" t="s">
        <v>134</v>
      </c>
    </row>
    <row r="6" spans="2:88" ht="28.8" x14ac:dyDescent="0.3">
      <c r="M6" s="38" t="s">
        <v>163</v>
      </c>
      <c r="AC6" t="s">
        <v>135</v>
      </c>
      <c r="AI6" s="1" t="s">
        <v>136</v>
      </c>
      <c r="AJ6" s="1" t="s">
        <v>137</v>
      </c>
      <c r="AK6" s="1"/>
      <c r="AL6" s="1" t="s">
        <v>138</v>
      </c>
      <c r="AM6" s="1" t="s">
        <v>139</v>
      </c>
      <c r="AN6" s="19" t="s">
        <v>61</v>
      </c>
      <c r="AO6" s="34" t="s">
        <v>62</v>
      </c>
      <c r="AP6" s="19" t="s">
        <v>140</v>
      </c>
      <c r="AQ6" s="34" t="s">
        <v>141</v>
      </c>
      <c r="BF6">
        <v>12</v>
      </c>
      <c r="BG6" s="16"/>
    </row>
    <row r="7" spans="2:88" s="24" customFormat="1" ht="28.8" x14ac:dyDescent="0.3">
      <c r="F7" s="28" t="s">
        <v>317</v>
      </c>
      <c r="G7" s="28" t="s">
        <v>320</v>
      </c>
      <c r="I7" s="28" t="s">
        <v>158</v>
      </c>
      <c r="J7" s="1" t="s">
        <v>240</v>
      </c>
      <c r="K7" t="s">
        <v>241</v>
      </c>
      <c r="L7" t="s">
        <v>8</v>
      </c>
      <c r="M7" s="28" t="s">
        <v>158</v>
      </c>
      <c r="N7" t="s">
        <v>43</v>
      </c>
      <c r="O7" t="s">
        <v>164</v>
      </c>
      <c r="P7" s="15" t="s">
        <v>49</v>
      </c>
      <c r="Q7" s="15"/>
      <c r="R7" s="18" t="s">
        <v>50</v>
      </c>
      <c r="S7" s="18"/>
      <c r="T7"/>
      <c r="U7" s="14"/>
      <c r="V7" s="15" t="s">
        <v>49</v>
      </c>
      <c r="W7" s="14"/>
      <c r="X7" s="14"/>
      <c r="Y7" s="17"/>
      <c r="Z7" s="18" t="s">
        <v>50</v>
      </c>
      <c r="AA7" s="17"/>
      <c r="AB7" s="17"/>
      <c r="AC7" t="s">
        <v>142</v>
      </c>
      <c r="AD7" s="19" t="s">
        <v>51</v>
      </c>
      <c r="AE7" s="20" t="s">
        <v>52</v>
      </c>
      <c r="AF7" s="19" t="s">
        <v>53</v>
      </c>
      <c r="AG7" s="19" t="s">
        <v>54</v>
      </c>
      <c r="AH7" s="35" t="s">
        <v>55</v>
      </c>
      <c r="AI7" s="35" t="s">
        <v>56</v>
      </c>
      <c r="AJ7" s="20" t="s">
        <v>57</v>
      </c>
      <c r="AK7" s="35" t="s">
        <v>58</v>
      </c>
      <c r="AL7" s="35" t="s">
        <v>59</v>
      </c>
      <c r="AM7" s="35" t="s">
        <v>60</v>
      </c>
      <c r="AN7" s="19" t="s">
        <v>61</v>
      </c>
      <c r="AO7" t="s">
        <v>143</v>
      </c>
      <c r="AP7" s="19" t="s">
        <v>62</v>
      </c>
      <c r="AQ7" t="s">
        <v>143</v>
      </c>
      <c r="AR7" s="1" t="s">
        <v>105</v>
      </c>
      <c r="AS7" s="1" t="s">
        <v>106</v>
      </c>
      <c r="AT7" s="1"/>
      <c r="AU7" s="1"/>
      <c r="AV7" s="1"/>
      <c r="AW7" s="1"/>
      <c r="AX7" s="1"/>
      <c r="AY7" s="1"/>
      <c r="AZ7" s="1"/>
      <c r="BA7" s="1"/>
      <c r="BB7" s="1"/>
      <c r="BC7" s="1"/>
      <c r="BD7"/>
      <c r="BE7" s="1"/>
      <c r="BF7" s="1"/>
      <c r="BG7" s="21"/>
      <c r="BH7" s="19" t="s">
        <v>63</v>
      </c>
      <c r="BI7" s="19" t="s">
        <v>64</v>
      </c>
      <c r="BJ7" s="36" t="s">
        <v>65</v>
      </c>
      <c r="BK7" s="22" t="s">
        <v>66</v>
      </c>
      <c r="BL7" s="19" t="s">
        <v>67</v>
      </c>
      <c r="BM7" s="36" t="s">
        <v>68</v>
      </c>
      <c r="BN7" s="19" t="s">
        <v>69</v>
      </c>
      <c r="BO7" s="19" t="s">
        <v>70</v>
      </c>
      <c r="BP7" s="19" t="s">
        <v>71</v>
      </c>
      <c r="BQ7" s="31" t="s">
        <v>119</v>
      </c>
      <c r="BR7" s="31" t="s">
        <v>120</v>
      </c>
      <c r="BS7" s="31" t="s">
        <v>121</v>
      </c>
      <c r="BT7" s="32" t="s">
        <v>122</v>
      </c>
      <c r="BU7" s="32" t="s">
        <v>123</v>
      </c>
      <c r="BV7" s="31" t="s">
        <v>258</v>
      </c>
      <c r="BW7" s="31" t="s">
        <v>267</v>
      </c>
      <c r="BX7" s="31" t="s">
        <v>268</v>
      </c>
      <c r="BY7" s="92" t="s">
        <v>269</v>
      </c>
      <c r="BZ7" s="33" t="s">
        <v>128</v>
      </c>
      <c r="CA7" s="33" t="s">
        <v>129</v>
      </c>
      <c r="CB7" s="33" t="s">
        <v>130</v>
      </c>
      <c r="CC7" s="33" t="s">
        <v>131</v>
      </c>
      <c r="CD7" s="33" t="s">
        <v>132</v>
      </c>
      <c r="CE7" s="33" t="s">
        <v>133</v>
      </c>
      <c r="CF7" s="33" t="s">
        <v>134</v>
      </c>
      <c r="CG7"/>
      <c r="CH7"/>
      <c r="CI7"/>
      <c r="CJ7"/>
    </row>
    <row r="8" spans="2:88" ht="25.8" x14ac:dyDescent="0.5">
      <c r="B8" s="94" t="s">
        <v>282</v>
      </c>
      <c r="E8" s="73"/>
    </row>
    <row r="9" spans="2:88" x14ac:dyDescent="0.3">
      <c r="B9" t="s">
        <v>316</v>
      </c>
      <c r="C9" s="7">
        <f>B2</f>
        <v>44987</v>
      </c>
    </row>
    <row r="10" spans="2:88" ht="29.4" thickBot="1" x14ac:dyDescent="0.35">
      <c r="B10" t="s">
        <v>318</v>
      </c>
      <c r="F10" s="1"/>
      <c r="G10" s="1"/>
      <c r="P10" s="38" t="s">
        <v>218</v>
      </c>
      <c r="Q10" s="38"/>
      <c r="R10" s="38"/>
      <c r="S10" s="38"/>
      <c r="T10" s="38"/>
      <c r="U10" s="28" t="s">
        <v>158</v>
      </c>
      <c r="V10" s="28" t="s">
        <v>147</v>
      </c>
      <c r="W10" s="28" t="s">
        <v>156</v>
      </c>
      <c r="X10" s="28" t="s">
        <v>157</v>
      </c>
      <c r="Y10" s="28" t="s">
        <v>158</v>
      </c>
      <c r="Z10" s="28" t="s">
        <v>147</v>
      </c>
      <c r="AA10" s="28" t="s">
        <v>156</v>
      </c>
      <c r="AB10" s="28" t="s">
        <v>157</v>
      </c>
      <c r="AD10" s="28" t="s">
        <v>178</v>
      </c>
      <c r="AE10" t="s">
        <v>215</v>
      </c>
    </row>
    <row r="11" spans="2:88" x14ac:dyDescent="0.3">
      <c r="B11" s="169" t="s">
        <v>283</v>
      </c>
      <c r="C11" s="170"/>
      <c r="D11" s="171"/>
      <c r="P11" t="s">
        <v>219</v>
      </c>
      <c r="U11" t="s">
        <v>220</v>
      </c>
      <c r="AD11" t="s">
        <v>177</v>
      </c>
      <c r="AE11" t="s">
        <v>176</v>
      </c>
    </row>
    <row r="12" spans="2:88" x14ac:dyDescent="0.3">
      <c r="O12" s="28" t="s">
        <v>178</v>
      </c>
      <c r="P12" t="s">
        <v>215</v>
      </c>
      <c r="U12" t="s">
        <v>220</v>
      </c>
      <c r="AE12" t="s">
        <v>179</v>
      </c>
    </row>
    <row r="13" spans="2:88" ht="15" thickBot="1" x14ac:dyDescent="0.35">
      <c r="P13" t="s">
        <v>259</v>
      </c>
      <c r="Q13" t="s">
        <v>260</v>
      </c>
      <c r="R13" t="s">
        <v>259</v>
      </c>
      <c r="S13" t="s">
        <v>260</v>
      </c>
      <c r="T13" s="28"/>
      <c r="AC13" s="49" t="s">
        <v>74</v>
      </c>
      <c r="BG13" s="49" t="s">
        <v>74</v>
      </c>
    </row>
    <row r="14" spans="2:88" x14ac:dyDescent="0.3">
      <c r="B14" s="172" t="s">
        <v>310</v>
      </c>
      <c r="C14" s="173"/>
      <c r="D14" s="174"/>
      <c r="AC14" s="50" t="s">
        <v>38</v>
      </c>
      <c r="BG14" s="50" t="s">
        <v>38</v>
      </c>
    </row>
    <row r="15" spans="2:88" ht="28.8" x14ac:dyDescent="0.3">
      <c r="B15" s="84"/>
      <c r="C15" s="3" t="s">
        <v>281</v>
      </c>
      <c r="D15" s="91" t="s">
        <v>308</v>
      </c>
      <c r="F15" s="1"/>
      <c r="L15" t="s">
        <v>261</v>
      </c>
      <c r="M15" t="s">
        <v>217</v>
      </c>
      <c r="N15">
        <f>_xlfn.T.TEST(AD15:BC15,BH15:CF15,2,2)</f>
        <v>2.6634270401251988E-2</v>
      </c>
      <c r="O15" t="s">
        <v>171</v>
      </c>
      <c r="P15" s="39">
        <v>6</v>
      </c>
      <c r="Q15" s="39">
        <v>10</v>
      </c>
      <c r="R15" s="39">
        <v>9</v>
      </c>
      <c r="S15" s="39">
        <v>9</v>
      </c>
      <c r="T15" s="68"/>
      <c r="U15" t="str">
        <f>CONCATENATE(TRUNC(V15,2), ",  (", TRUNC(W15,2), " , ", TRUNC(X15,2), "), ", P15)</f>
        <v>1.6,  (1.31 , 1.85), 6</v>
      </c>
      <c r="V15">
        <f>MEDIAN(AD15:BC15)</f>
        <v>1.607661181126725</v>
      </c>
      <c r="W15">
        <f>_xlfn.PERCENTILE.INC(AD15:BC15, 0.25)</f>
        <v>1.3183050366020126</v>
      </c>
      <c r="X15">
        <f>_xlfn.PERCENTILE.INC(AD15:BC15, 0.75)</f>
        <v>1.8589755904960925</v>
      </c>
      <c r="Y15" t="str">
        <f>CONCATENATE(TRUNC(Z15,2), ",  (", TRUNC(AA15,2), " , ", TRUNC(AB15,2), "), ", R15)</f>
        <v>3.11,  (1.98 , 3.29), 9</v>
      </c>
      <c r="Z15">
        <f>MEDIAN(BH15:CF15)</f>
        <v>3.1119846373829398</v>
      </c>
      <c r="AA15">
        <f>_xlfn.PERCENTILE.INC(BH15:CF15, 0.25)</f>
        <v>1.9882420560591374</v>
      </c>
      <c r="AB15">
        <f>_xlfn.PERCENTILE.INC(BH15:CF15, 0.75)</f>
        <v>3.290022687332955</v>
      </c>
      <c r="AC15" s="48" t="s">
        <v>39</v>
      </c>
      <c r="AD15" s="58">
        <v>2.8195488086367302</v>
      </c>
      <c r="AE15" s="59" t="s">
        <v>162</v>
      </c>
      <c r="AF15" s="58">
        <v>1.0353460761712401</v>
      </c>
      <c r="AG15" s="60">
        <v>1.2682005701616701</v>
      </c>
      <c r="AH15" s="58">
        <v>1.4686184359230401</v>
      </c>
      <c r="AI15" s="59" t="s">
        <v>162</v>
      </c>
      <c r="AJ15" s="58" t="s">
        <v>162</v>
      </c>
      <c r="AK15">
        <v>1.7467039263304101</v>
      </c>
      <c r="AL15" s="61" t="s">
        <v>162</v>
      </c>
      <c r="AM15" s="61" t="s">
        <v>162</v>
      </c>
      <c r="AN15">
        <v>1.8963994785513201</v>
      </c>
      <c r="AO15" s="58" t="s">
        <v>162</v>
      </c>
      <c r="AP15" s="61" t="s">
        <v>162</v>
      </c>
      <c r="AQ15" s="58" t="s">
        <v>162</v>
      </c>
      <c r="AR15" s="27"/>
      <c r="AS15" s="27"/>
      <c r="BG15" s="48" t="s">
        <v>39</v>
      </c>
      <c r="BH15" s="58">
        <v>2.2898171326099801</v>
      </c>
      <c r="BI15" s="58">
        <v>3.3007979309730899</v>
      </c>
      <c r="BJ15" s="58">
        <v>1.5905242855573101</v>
      </c>
      <c r="BK15" s="60" t="s">
        <v>162</v>
      </c>
      <c r="BL15" s="58">
        <v>4.0945895135836201</v>
      </c>
      <c r="BM15" s="58">
        <v>1.4709913135435499</v>
      </c>
      <c r="BN15" s="58">
        <v>3.2054336749115202</v>
      </c>
      <c r="BO15" s="58">
        <v>3.0185355998543599</v>
      </c>
      <c r="BP15" s="58">
        <v>3.2576969564125502</v>
      </c>
      <c r="BQ15" s="58">
        <v>4.4483988255018403</v>
      </c>
      <c r="BR15" s="58">
        <v>1.88771703054219</v>
      </c>
    </row>
    <row r="16" spans="2:88" hidden="1" x14ac:dyDescent="0.3">
      <c r="B16" s="76" t="s">
        <v>279</v>
      </c>
      <c r="C16" s="10" t="s">
        <v>311</v>
      </c>
      <c r="D16" s="53" t="s">
        <v>309</v>
      </c>
      <c r="F16" s="1"/>
      <c r="H16" s="10"/>
      <c r="M16" t="s">
        <v>173</v>
      </c>
      <c r="N16">
        <f>_xlfn.T.TEST(AD16:BC16,BH16:CF16,2,2)</f>
        <v>0.88174070895171153</v>
      </c>
      <c r="O16" t="s">
        <v>171</v>
      </c>
      <c r="P16" s="39">
        <v>4</v>
      </c>
      <c r="Q16" s="39">
        <v>10</v>
      </c>
      <c r="R16" s="39">
        <v>9</v>
      </c>
      <c r="S16" s="39">
        <v>9</v>
      </c>
      <c r="T16" s="68"/>
      <c r="U16" t="str">
        <f t="shared" ref="U16:U21" si="0">CONCATENATE(TRUNC(V16,2), ",  (", TRUNC(W16,2), " , ", TRUNC(X16,2), "), ", P16)</f>
        <v>1.8,  (1.66 , 1.86), 4</v>
      </c>
      <c r="V16">
        <f>MEDIAN(AD16:BC16)</f>
        <v>1.8082043668973848</v>
      </c>
      <c r="W16">
        <f>_xlfn.PERCENTILE.INC(AD16:BC16, 0.25)</f>
        <v>1.6680855322082924</v>
      </c>
      <c r="X16">
        <f>_xlfn.PERCENTILE.INC(AD16:BC16, 0.75)</f>
        <v>1.8683160883630749</v>
      </c>
      <c r="Y16" t="str">
        <f t="shared" ref="Y16:Y21" si="1">CONCATENATE(TRUNC(Z16,2), ",  (", TRUNC(AA16,2), " , ", TRUNC(AB16,2), "), ", R16)</f>
        <v>1.76,  (1.28 , 2.18), 9</v>
      </c>
      <c r="Z16">
        <f>MEDIAN(BH16:CF16)</f>
        <v>1.76030318711992</v>
      </c>
      <c r="AA16">
        <f>_xlfn.PERCENTILE.INC(BH16:CF16, 0.25)</f>
        <v>1.2868346518979323</v>
      </c>
      <c r="AB16">
        <f>_xlfn.PERCENTILE.INC(BH16:CF16, 0.75)</f>
        <v>2.1884314345073728</v>
      </c>
      <c r="AC16" s="48" t="s">
        <v>40</v>
      </c>
      <c r="AD16" s="58">
        <v>1.92065960521003</v>
      </c>
      <c r="AE16" s="59" t="s">
        <v>162</v>
      </c>
      <c r="AF16" s="58">
        <v>1.85086824941409</v>
      </c>
      <c r="AG16" s="58">
        <v>1.37572067569113</v>
      </c>
      <c r="AH16" s="59" t="s">
        <v>162</v>
      </c>
      <c r="AI16" s="59" t="s">
        <v>162</v>
      </c>
      <c r="AJ16" s="58" t="s">
        <v>162</v>
      </c>
      <c r="AK16" s="61" t="s">
        <v>162</v>
      </c>
      <c r="AL16" s="61" t="s">
        <v>162</v>
      </c>
      <c r="AM16" s="61" t="s">
        <v>162</v>
      </c>
      <c r="AN16">
        <v>1.7655404843806799</v>
      </c>
      <c r="AO16" s="58" t="s">
        <v>162</v>
      </c>
      <c r="AP16" s="61" t="s">
        <v>162</v>
      </c>
      <c r="AQ16" s="58" t="s">
        <v>162</v>
      </c>
      <c r="BG16" s="48" t="s">
        <v>40</v>
      </c>
      <c r="BH16" s="58">
        <v>1.11700846174386</v>
      </c>
      <c r="BI16" s="58">
        <v>1.6979104140009</v>
      </c>
      <c r="BJ16" s="58">
        <v>1.27268754</v>
      </c>
      <c r="BK16" s="62" t="s">
        <v>162</v>
      </c>
      <c r="BL16" s="58">
        <v>2.2407940760098302</v>
      </c>
      <c r="BM16" s="58">
        <v>2.0313435100000001</v>
      </c>
      <c r="BN16" s="58">
        <v>2.7796820045573698</v>
      </c>
      <c r="BO16" s="58">
        <v>1.8226959602389401</v>
      </c>
      <c r="BP16" s="58">
        <v>0.78493182229421399</v>
      </c>
      <c r="BQ16" s="58">
        <v>2.7424048162087602</v>
      </c>
      <c r="BR16" s="58">
        <v>1.3292759875917299</v>
      </c>
    </row>
    <row r="17" spans="2:70" hidden="1" x14ac:dyDescent="0.3">
      <c r="B17" s="48" t="s">
        <v>292</v>
      </c>
      <c r="C17" s="10" t="s">
        <v>311</v>
      </c>
      <c r="D17" s="53" t="s">
        <v>309</v>
      </c>
      <c r="F17" s="1"/>
      <c r="AC17" s="50" t="s">
        <v>41</v>
      </c>
      <c r="BG17" s="50" t="s">
        <v>41</v>
      </c>
    </row>
    <row r="18" spans="2:70" x14ac:dyDescent="0.3">
      <c r="B18" s="48" t="s">
        <v>301</v>
      </c>
      <c r="C18" s="10" t="s">
        <v>321</v>
      </c>
      <c r="D18" s="53" t="s">
        <v>322</v>
      </c>
      <c r="F18" s="99">
        <v>44629</v>
      </c>
      <c r="G18" t="s">
        <v>323</v>
      </c>
      <c r="AC18" s="50"/>
      <c r="BG18" s="50"/>
    </row>
    <row r="19" spans="2:70" x14ac:dyDescent="0.3">
      <c r="B19" s="48" t="s">
        <v>302</v>
      </c>
      <c r="C19" s="10" t="s">
        <v>326</v>
      </c>
      <c r="D19" s="53" t="s">
        <v>327</v>
      </c>
      <c r="F19" s="99">
        <v>44629</v>
      </c>
      <c r="G19" t="s">
        <v>323</v>
      </c>
      <c r="AC19" s="50"/>
      <c r="BG19" s="50"/>
    </row>
    <row r="20" spans="2:70" x14ac:dyDescent="0.3">
      <c r="B20" s="48" t="s">
        <v>280</v>
      </c>
      <c r="C20" s="100" t="s">
        <v>311</v>
      </c>
      <c r="D20" s="101" t="s">
        <v>309</v>
      </c>
      <c r="F20" s="1"/>
      <c r="M20" t="s">
        <v>173</v>
      </c>
      <c r="N20">
        <f>_xlfn.T.TEST(AD20:BC20,BH20:CF20,2,2)</f>
        <v>0.43714190164887645</v>
      </c>
      <c r="O20" t="s">
        <v>171</v>
      </c>
      <c r="P20" s="39">
        <v>6</v>
      </c>
      <c r="Q20" s="39">
        <v>7</v>
      </c>
      <c r="R20" s="39">
        <v>3</v>
      </c>
      <c r="S20" s="39">
        <v>3</v>
      </c>
      <c r="T20" s="68"/>
      <c r="U20" t="str">
        <f t="shared" si="0"/>
        <v>1.81,  (1.49 , 3.89), 6</v>
      </c>
      <c r="V20">
        <f>MEDIAN(AD20:BC20)</f>
        <v>1.81213566339176</v>
      </c>
      <c r="W20">
        <f>_xlfn.PERCENTILE.INC(AD20:BC20, 0.25)</f>
        <v>1.4972449398191223</v>
      </c>
      <c r="X20">
        <f>_xlfn.PERCENTILE.INC(AD20:BC20, 0.75)</f>
        <v>3.8917854788803403</v>
      </c>
      <c r="Y20" t="str">
        <f t="shared" si="1"/>
        <v>2.05,  (1.47 , 2.28), 3</v>
      </c>
      <c r="Z20">
        <f>MEDIAN(BH20:CF20)</f>
        <v>2.05084081707346</v>
      </c>
      <c r="AA20">
        <f>_xlfn.PERCENTILE.INC(BH20:CF20, 0.25)</f>
        <v>1.4720019555091706</v>
      </c>
      <c r="AB20">
        <f>_xlfn.PERCENTILE.INC(BH20:CF20, 0.75)</f>
        <v>2.2824425779627102</v>
      </c>
      <c r="AC20" s="48" t="s">
        <v>39</v>
      </c>
      <c r="AD20" t="s">
        <v>162</v>
      </c>
      <c r="AE20" t="s">
        <v>162</v>
      </c>
      <c r="AF20" t="s">
        <v>162</v>
      </c>
      <c r="AG20" t="s">
        <v>162</v>
      </c>
      <c r="AH20" s="58">
        <v>9.2743941970288297</v>
      </c>
      <c r="AI20" s="58">
        <v>1.4161592237265099</v>
      </c>
      <c r="AJ20" s="58" t="s">
        <v>162</v>
      </c>
      <c r="AK20" s="58">
        <v>1.7405020880969599</v>
      </c>
      <c r="AL20" s="58">
        <v>4.5611242256116</v>
      </c>
      <c r="AM20" s="58" t="s">
        <v>162</v>
      </c>
      <c r="AN20" s="58">
        <v>1.40354475865929</v>
      </c>
      <c r="AO20" s="58" t="s">
        <v>162</v>
      </c>
      <c r="AP20" s="58">
        <v>1.8837692386865601</v>
      </c>
      <c r="AQ20" s="58" t="s">
        <v>162</v>
      </c>
      <c r="BG20" s="48" t="s">
        <v>39</v>
      </c>
      <c r="BH20" t="s">
        <v>162</v>
      </c>
      <c r="BI20" t="s">
        <v>162</v>
      </c>
      <c r="BJ20" t="s">
        <v>162</v>
      </c>
      <c r="BK20" t="s">
        <v>162</v>
      </c>
      <c r="BL20" t="s">
        <v>162</v>
      </c>
      <c r="BM20" t="s">
        <v>162</v>
      </c>
      <c r="BN20" t="s">
        <v>162</v>
      </c>
      <c r="BO20" t="s">
        <v>162</v>
      </c>
      <c r="BP20" s="58">
        <v>0.89316309394488103</v>
      </c>
      <c r="BQ20" s="58">
        <v>2.05084081707346</v>
      </c>
      <c r="BR20" s="58">
        <v>2.51404433885196</v>
      </c>
    </row>
    <row r="21" spans="2:70" x14ac:dyDescent="0.3">
      <c r="B21" s="48" t="s">
        <v>304</v>
      </c>
      <c r="C21" s="10" t="s">
        <v>330</v>
      </c>
      <c r="D21" s="53" t="s">
        <v>331</v>
      </c>
      <c r="F21" s="99">
        <v>44629</v>
      </c>
      <c r="G21" t="s">
        <v>323</v>
      </c>
      <c r="M21" t="s">
        <v>173</v>
      </c>
      <c r="N21">
        <f>_xlfn.T.TEST(AD21:BC21,BH21:CF21,2,2)</f>
        <v>0.31240336695199494</v>
      </c>
      <c r="O21" t="s">
        <v>171</v>
      </c>
      <c r="P21" s="39">
        <v>3</v>
      </c>
      <c r="Q21" s="39">
        <v>7</v>
      </c>
      <c r="R21" s="39">
        <v>3</v>
      </c>
      <c r="S21" s="39">
        <v>3</v>
      </c>
      <c r="T21" s="68"/>
      <c r="U21" t="str">
        <f t="shared" si="0"/>
        <v>1.87,  (1.46 , 3.36), 3</v>
      </c>
      <c r="V21">
        <f>MEDIAN(AD21:BC21)</f>
        <v>1.8748035499796001</v>
      </c>
      <c r="W21">
        <f>_xlfn.PERCENTILE.INC(AD21:BC21, 0.25)</f>
        <v>1.4682627475103351</v>
      </c>
      <c r="X21">
        <f>_xlfn.PERCENTILE.INC(AD21:BC21, 0.75)</f>
        <v>3.3689035135184149</v>
      </c>
      <c r="Y21" t="str">
        <f t="shared" si="1"/>
        <v>1.38,  (0.95 , 1.54), 3</v>
      </c>
      <c r="Z21">
        <f>MEDIAN(BH21:CF21)</f>
        <v>1.3880612417202001</v>
      </c>
      <c r="AA21">
        <f>_xlfn.PERCENTILE.INC(BH21:CF21, 0.25)</f>
        <v>0.95671034210980754</v>
      </c>
      <c r="AB21">
        <f>_xlfn.PERCENTILE.INC(BH21:CF21, 0.75)</f>
        <v>1.5444071577252849</v>
      </c>
      <c r="AC21" s="48" t="s">
        <v>40</v>
      </c>
      <c r="AD21" t="s">
        <v>162</v>
      </c>
      <c r="AE21" t="s">
        <v>162</v>
      </c>
      <c r="AF21" t="s">
        <v>162</v>
      </c>
      <c r="AG21" t="s">
        <v>162</v>
      </c>
      <c r="AH21" s="58">
        <v>4.8630034770572301</v>
      </c>
      <c r="AI21" s="59" t="s">
        <v>162</v>
      </c>
      <c r="AJ21" s="58" t="s">
        <v>162</v>
      </c>
      <c r="AK21" s="61" t="s">
        <v>162</v>
      </c>
      <c r="AL21" s="62">
        <v>1.06172194504107</v>
      </c>
      <c r="AM21" s="58" t="s">
        <v>162</v>
      </c>
      <c r="AN21" s="58">
        <v>1.8748035499796001</v>
      </c>
      <c r="AO21" s="58" t="s">
        <v>162</v>
      </c>
      <c r="AP21" s="61" t="s">
        <v>162</v>
      </c>
      <c r="AQ21" s="58" t="s">
        <v>162</v>
      </c>
      <c r="BG21" s="48" t="s">
        <v>40</v>
      </c>
      <c r="BH21" t="s">
        <v>162</v>
      </c>
      <c r="BI21" t="s">
        <v>162</v>
      </c>
      <c r="BJ21" t="s">
        <v>162</v>
      </c>
      <c r="BK21" t="s">
        <v>162</v>
      </c>
      <c r="BL21" t="s">
        <v>162</v>
      </c>
      <c r="BM21" t="s">
        <v>162</v>
      </c>
      <c r="BN21" t="s">
        <v>162</v>
      </c>
      <c r="BO21" t="s">
        <v>162</v>
      </c>
      <c r="BP21" s="58">
        <v>0.52535944249941502</v>
      </c>
      <c r="BQ21" s="58">
        <v>1.3880612417202001</v>
      </c>
      <c r="BR21" s="58">
        <v>1.70075307373037</v>
      </c>
    </row>
    <row r="22" spans="2:70" ht="15" thickBot="1" x14ac:dyDescent="0.35">
      <c r="B22" s="51" t="s">
        <v>305</v>
      </c>
      <c r="C22" s="55" t="s">
        <v>334</v>
      </c>
      <c r="D22" s="56" t="s">
        <v>335</v>
      </c>
      <c r="F22" s="99">
        <v>44629</v>
      </c>
      <c r="G22" t="s">
        <v>323</v>
      </c>
      <c r="P22" s="39"/>
      <c r="Q22" s="39"/>
      <c r="R22" s="39"/>
      <c r="S22" s="39"/>
      <c r="T22" s="68"/>
      <c r="AH22" s="58"/>
      <c r="AI22" s="59"/>
      <c r="AJ22" s="58"/>
      <c r="AK22" s="61"/>
      <c r="AL22" s="62"/>
      <c r="AM22" s="58"/>
      <c r="AN22" s="58"/>
      <c r="AO22" s="58"/>
      <c r="AP22" s="61"/>
      <c r="AQ22" s="58"/>
      <c r="BP22" s="58"/>
      <c r="BQ22" s="58"/>
      <c r="BR22" s="58"/>
    </row>
    <row r="23" spans="2:70" x14ac:dyDescent="0.3">
      <c r="P23" s="39"/>
      <c r="Q23" s="39"/>
      <c r="R23" s="39"/>
      <c r="S23" s="39"/>
      <c r="T23" s="68"/>
      <c r="AH23" s="58"/>
      <c r="AI23" s="59"/>
      <c r="AJ23" s="58"/>
      <c r="AK23" s="61"/>
      <c r="AL23" s="62"/>
      <c r="AM23" s="58"/>
      <c r="AN23" s="58"/>
      <c r="AO23" s="58"/>
      <c r="AP23" s="61"/>
      <c r="AQ23" s="58"/>
      <c r="BP23" s="58"/>
      <c r="BQ23" s="58"/>
      <c r="BR23" s="58"/>
    </row>
    <row r="24" spans="2:70" x14ac:dyDescent="0.3">
      <c r="P24" s="39"/>
      <c r="Q24" s="39"/>
      <c r="R24" s="39"/>
      <c r="S24" s="39"/>
      <c r="T24" s="68"/>
      <c r="AH24" s="58"/>
      <c r="AI24" s="59"/>
      <c r="AJ24" s="58"/>
      <c r="AK24" s="61"/>
      <c r="AL24" s="62"/>
      <c r="AM24" s="58"/>
      <c r="AN24" s="58"/>
      <c r="AO24" s="58"/>
      <c r="AP24" s="61"/>
      <c r="AQ24" s="58"/>
      <c r="BP24" s="58"/>
      <c r="BQ24" s="58"/>
      <c r="BR24" s="58"/>
    </row>
    <row r="25" spans="2:70" ht="15" thickBot="1" x14ac:dyDescent="0.35">
      <c r="B25" t="s">
        <v>319</v>
      </c>
      <c r="P25" s="39"/>
      <c r="Q25" s="39"/>
      <c r="R25" s="39"/>
      <c r="S25" s="39"/>
      <c r="T25" s="68"/>
      <c r="AH25" s="58"/>
      <c r="AI25" s="59"/>
      <c r="AJ25" s="58"/>
      <c r="AK25" s="61"/>
      <c r="AL25" s="62"/>
      <c r="AM25" s="58"/>
      <c r="AN25" s="58"/>
      <c r="AO25" s="58"/>
      <c r="AP25" s="61"/>
      <c r="AQ25" s="58"/>
      <c r="BP25" s="58"/>
      <c r="BQ25" s="58"/>
      <c r="BR25" s="58"/>
    </row>
    <row r="26" spans="2:70" x14ac:dyDescent="0.3">
      <c r="B26" s="169" t="s">
        <v>283</v>
      </c>
      <c r="C26" s="170"/>
      <c r="D26" s="171"/>
      <c r="P26" s="39"/>
      <c r="Q26" s="39"/>
      <c r="R26" s="39"/>
      <c r="S26" s="39"/>
      <c r="T26" s="68"/>
      <c r="AH26" s="58"/>
      <c r="AI26" s="59"/>
      <c r="AJ26" s="58"/>
      <c r="AK26" s="61"/>
      <c r="AL26" s="62"/>
      <c r="AM26" s="58"/>
      <c r="AN26" s="58"/>
      <c r="AO26" s="58"/>
      <c r="AP26" s="61"/>
      <c r="AQ26" s="58"/>
      <c r="BP26" s="58"/>
      <c r="BQ26" s="58"/>
      <c r="BR26" s="58"/>
    </row>
    <row r="28" spans="2:70" ht="15" thickBot="1" x14ac:dyDescent="0.35"/>
    <row r="29" spans="2:70" x14ac:dyDescent="0.3">
      <c r="B29" s="172" t="s">
        <v>41</v>
      </c>
      <c r="C29" s="173"/>
      <c r="D29" s="174"/>
    </row>
    <row r="30" spans="2:70" ht="28.8" x14ac:dyDescent="0.3">
      <c r="B30" s="84"/>
      <c r="C30" s="3" t="s">
        <v>281</v>
      </c>
      <c r="D30" s="91" t="s">
        <v>308</v>
      </c>
    </row>
    <row r="31" spans="2:70" hidden="1" x14ac:dyDescent="0.3">
      <c r="B31" s="76" t="s">
        <v>279</v>
      </c>
      <c r="C31" s="10" t="s">
        <v>311</v>
      </c>
      <c r="D31" s="53" t="s">
        <v>309</v>
      </c>
    </row>
    <row r="32" spans="2:70" hidden="1" x14ac:dyDescent="0.3">
      <c r="B32" s="48" t="s">
        <v>292</v>
      </c>
      <c r="C32" s="10" t="s">
        <v>311</v>
      </c>
      <c r="D32" s="53" t="s">
        <v>309</v>
      </c>
    </row>
    <row r="33" spans="2:11" x14ac:dyDescent="0.3">
      <c r="B33" s="48" t="s">
        <v>301</v>
      </c>
      <c r="C33" s="10" t="s">
        <v>324</v>
      </c>
      <c r="D33" s="53" t="s">
        <v>325</v>
      </c>
      <c r="F33" s="99">
        <v>44629</v>
      </c>
      <c r="G33" t="s">
        <v>323</v>
      </c>
    </row>
    <row r="34" spans="2:11" x14ac:dyDescent="0.3">
      <c r="B34" s="48" t="s">
        <v>302</v>
      </c>
      <c r="C34" s="10" t="s">
        <v>328</v>
      </c>
      <c r="D34" s="53" t="s">
        <v>329</v>
      </c>
      <c r="F34" s="99">
        <v>44629</v>
      </c>
      <c r="G34" t="s">
        <v>323</v>
      </c>
    </row>
    <row r="35" spans="2:11" x14ac:dyDescent="0.3">
      <c r="B35" s="48" t="s">
        <v>280</v>
      </c>
      <c r="C35" s="100" t="s">
        <v>311</v>
      </c>
      <c r="D35" s="101" t="s">
        <v>309</v>
      </c>
    </row>
    <row r="36" spans="2:11" x14ac:dyDescent="0.3">
      <c r="B36" s="48" t="s">
        <v>304</v>
      </c>
      <c r="C36" s="10" t="s">
        <v>332</v>
      </c>
      <c r="D36" s="53" t="s">
        <v>333</v>
      </c>
      <c r="F36" s="99">
        <v>44629</v>
      </c>
      <c r="G36" t="s">
        <v>323</v>
      </c>
    </row>
    <row r="37" spans="2:11" ht="15" thickBot="1" x14ac:dyDescent="0.35">
      <c r="B37" s="51" t="s">
        <v>305</v>
      </c>
      <c r="C37" s="55" t="s">
        <v>336</v>
      </c>
      <c r="D37" s="56" t="s">
        <v>337</v>
      </c>
      <c r="F37" s="99">
        <v>44629</v>
      </c>
      <c r="G37" t="s">
        <v>323</v>
      </c>
    </row>
    <row r="40" spans="2:11" x14ac:dyDescent="0.3">
      <c r="B40" t="s">
        <v>313</v>
      </c>
    </row>
    <row r="41" spans="2:11" ht="15" thickBot="1" x14ac:dyDescent="0.35"/>
    <row r="42" spans="2:11" ht="29.4" thickBot="1" x14ac:dyDescent="0.35">
      <c r="B42" s="169" t="s">
        <v>314</v>
      </c>
      <c r="C42" s="170"/>
      <c r="D42" s="171"/>
      <c r="J42" s="28" t="s">
        <v>317</v>
      </c>
      <c r="K42" s="28" t="s">
        <v>320</v>
      </c>
    </row>
    <row r="43" spans="2:11" x14ac:dyDescent="0.3">
      <c r="B43" s="172" t="s">
        <v>310</v>
      </c>
      <c r="C43" s="173"/>
      <c r="D43" s="174"/>
    </row>
    <row r="44" spans="2:11" ht="15" thickBot="1" x14ac:dyDescent="0.35"/>
    <row r="45" spans="2:11" x14ac:dyDescent="0.3">
      <c r="B45" s="75"/>
      <c r="C45" s="46" t="s">
        <v>7</v>
      </c>
      <c r="D45" s="46"/>
      <c r="E45" s="46" t="s">
        <v>0</v>
      </c>
      <c r="F45" s="90"/>
      <c r="G45" s="46" t="s">
        <v>315</v>
      </c>
      <c r="H45" s="98"/>
    </row>
    <row r="46" spans="2:11" ht="28.8" x14ac:dyDescent="0.3">
      <c r="B46" s="84"/>
      <c r="C46" s="3" t="s">
        <v>281</v>
      </c>
      <c r="D46" s="8" t="s">
        <v>308</v>
      </c>
      <c r="E46" s="3" t="s">
        <v>281</v>
      </c>
      <c r="F46" s="8" t="s">
        <v>308</v>
      </c>
      <c r="G46" s="3" t="s">
        <v>281</v>
      </c>
      <c r="H46" s="91" t="s">
        <v>308</v>
      </c>
    </row>
    <row r="47" spans="2:11" x14ac:dyDescent="0.3">
      <c r="B47" s="76" t="s">
        <v>279</v>
      </c>
      <c r="C47" s="10" t="s">
        <v>311</v>
      </c>
      <c r="D47" s="10" t="s">
        <v>309</v>
      </c>
      <c r="E47" s="10" t="s">
        <v>311</v>
      </c>
      <c r="F47" s="10" t="s">
        <v>309</v>
      </c>
      <c r="G47" s="102" t="s">
        <v>311</v>
      </c>
      <c r="H47" s="103" t="s">
        <v>309</v>
      </c>
      <c r="J47" s="99">
        <v>44629</v>
      </c>
    </row>
    <row r="48" spans="2:11" ht="15" thickBot="1" x14ac:dyDescent="0.35">
      <c r="B48" s="51" t="s">
        <v>292</v>
      </c>
      <c r="C48" s="55" t="s">
        <v>339</v>
      </c>
      <c r="D48" s="55" t="s">
        <v>344</v>
      </c>
      <c r="E48" s="55" t="s">
        <v>342</v>
      </c>
      <c r="F48" s="55" t="s">
        <v>343</v>
      </c>
      <c r="G48" s="104" t="s">
        <v>340</v>
      </c>
      <c r="H48" s="105" t="s">
        <v>341</v>
      </c>
      <c r="J48" s="99">
        <v>44629</v>
      </c>
      <c r="K48" t="s">
        <v>338</v>
      </c>
    </row>
    <row r="52" spans="2:11" x14ac:dyDescent="0.3">
      <c r="B52" t="s">
        <v>312</v>
      </c>
    </row>
    <row r="53" spans="2:11" ht="29.4" thickBot="1" x14ac:dyDescent="0.35">
      <c r="J53" s="28" t="s">
        <v>317</v>
      </c>
      <c r="K53" s="28" t="s">
        <v>320</v>
      </c>
    </row>
    <row r="54" spans="2:11" ht="15" thickBot="1" x14ac:dyDescent="0.35">
      <c r="B54" s="169" t="s">
        <v>314</v>
      </c>
      <c r="C54" s="170"/>
      <c r="D54" s="171"/>
    </row>
    <row r="55" spans="2:11" x14ac:dyDescent="0.3">
      <c r="B55" s="172" t="s">
        <v>41</v>
      </c>
      <c r="C55" s="173"/>
      <c r="D55" s="174"/>
    </row>
    <row r="56" spans="2:11" ht="15" thickBot="1" x14ac:dyDescent="0.35"/>
    <row r="57" spans="2:11" x14ac:dyDescent="0.3">
      <c r="B57" s="75"/>
      <c r="C57" s="46" t="s">
        <v>7</v>
      </c>
      <c r="D57" s="46"/>
      <c r="E57" s="46" t="s">
        <v>0</v>
      </c>
      <c r="F57" s="90"/>
      <c r="G57" s="46" t="s">
        <v>315</v>
      </c>
      <c r="H57" s="98"/>
    </row>
    <row r="58" spans="2:11" ht="28.8" x14ac:dyDescent="0.3">
      <c r="B58" s="84"/>
      <c r="C58" s="3" t="s">
        <v>281</v>
      </c>
      <c r="D58" s="8" t="s">
        <v>308</v>
      </c>
      <c r="E58" s="3" t="s">
        <v>281</v>
      </c>
      <c r="F58" s="8" t="s">
        <v>308</v>
      </c>
      <c r="G58" s="3" t="s">
        <v>281</v>
      </c>
      <c r="H58" s="91" t="s">
        <v>308</v>
      </c>
    </row>
    <row r="59" spans="2:11" x14ac:dyDescent="0.3">
      <c r="B59" s="76" t="s">
        <v>279</v>
      </c>
      <c r="C59" s="10" t="s">
        <v>311</v>
      </c>
      <c r="D59" s="10" t="s">
        <v>309</v>
      </c>
      <c r="E59" s="10" t="s">
        <v>311</v>
      </c>
      <c r="F59" s="10" t="s">
        <v>309</v>
      </c>
      <c r="G59" s="102" t="s">
        <v>311</v>
      </c>
      <c r="H59" s="103" t="s">
        <v>309</v>
      </c>
      <c r="J59" s="99">
        <v>44629</v>
      </c>
    </row>
    <row r="60" spans="2:11" ht="15" thickBot="1" x14ac:dyDescent="0.35">
      <c r="B60" s="51" t="s">
        <v>292</v>
      </c>
      <c r="C60" s="55" t="s">
        <v>345</v>
      </c>
      <c r="D60" s="55" t="s">
        <v>346</v>
      </c>
      <c r="E60" s="55" t="s">
        <v>347</v>
      </c>
      <c r="F60" s="55" t="s">
        <v>348</v>
      </c>
      <c r="G60" s="104" t="s">
        <v>349</v>
      </c>
      <c r="H60" s="105" t="s">
        <v>350</v>
      </c>
      <c r="J60" s="99">
        <v>44629</v>
      </c>
      <c r="K60" t="s">
        <v>338</v>
      </c>
    </row>
    <row r="66" spans="2:14" ht="23.4" x14ac:dyDescent="0.45">
      <c r="B66" s="94" t="s">
        <v>282</v>
      </c>
    </row>
    <row r="68" spans="2:14" ht="15" thickBot="1" x14ac:dyDescent="0.35">
      <c r="B68" t="s">
        <v>42</v>
      </c>
      <c r="C68" s="7">
        <v>44959</v>
      </c>
    </row>
    <row r="69" spans="2:14" x14ac:dyDescent="0.3">
      <c r="B69" s="45" t="s">
        <v>37</v>
      </c>
      <c r="C69" s="46" t="s">
        <v>7</v>
      </c>
      <c r="D69" s="46" t="s">
        <v>0</v>
      </c>
      <c r="E69" s="47" t="s">
        <v>43</v>
      </c>
    </row>
    <row r="70" spans="2:14" x14ac:dyDescent="0.3">
      <c r="B70" s="48"/>
      <c r="C70" s="10"/>
      <c r="D70" s="10"/>
      <c r="E70" s="53"/>
    </row>
    <row r="71" spans="2:14" x14ac:dyDescent="0.3">
      <c r="B71" s="49" t="s">
        <v>74</v>
      </c>
      <c r="C71" s="25"/>
      <c r="D71" s="25"/>
      <c r="E71" s="53"/>
    </row>
    <row r="72" spans="2:14" x14ac:dyDescent="0.3">
      <c r="B72" s="50" t="s">
        <v>38</v>
      </c>
      <c r="C72" s="10"/>
      <c r="D72" s="10"/>
      <c r="E72" s="53"/>
      <c r="I72" s="39"/>
      <c r="J72" s="39"/>
      <c r="K72" s="39"/>
      <c r="L72" s="39"/>
      <c r="M72" s="39"/>
      <c r="N72" s="39"/>
    </row>
    <row r="73" spans="2:14" x14ac:dyDescent="0.3">
      <c r="B73" s="48" t="s">
        <v>39</v>
      </c>
      <c r="C73" s="10" t="str">
        <f>U15</f>
        <v>1.6,  (1.31 , 1.85), 6</v>
      </c>
      <c r="D73" s="10" t="str">
        <f>Y15</f>
        <v>3.11,  (1.98 , 3.29), 9</v>
      </c>
      <c r="E73" s="53"/>
      <c r="I73" s="39"/>
      <c r="J73" s="39"/>
      <c r="K73" s="39"/>
      <c r="L73" s="39"/>
      <c r="M73" s="39"/>
      <c r="N73" s="39"/>
    </row>
    <row r="74" spans="2:14" x14ac:dyDescent="0.3">
      <c r="B74" s="48" t="s">
        <v>40</v>
      </c>
      <c r="C74" s="10" t="str">
        <f>U16</f>
        <v>1.8,  (1.66 , 1.86), 4</v>
      </c>
      <c r="D74" s="10" t="str">
        <f>Y16</f>
        <v>1.76,  (1.28 , 2.18), 9</v>
      </c>
      <c r="E74" s="53"/>
      <c r="I74" s="39"/>
      <c r="J74" s="39"/>
      <c r="K74" s="39"/>
      <c r="L74" s="39"/>
      <c r="M74" s="39"/>
      <c r="N74" s="39"/>
    </row>
    <row r="75" spans="2:14" x14ac:dyDescent="0.3">
      <c r="B75" s="50" t="s">
        <v>41</v>
      </c>
      <c r="C75" s="10"/>
      <c r="D75" s="10"/>
      <c r="E75" s="53"/>
      <c r="I75" s="39"/>
      <c r="J75" s="39"/>
      <c r="K75" s="39"/>
      <c r="L75" s="39"/>
      <c r="M75" s="39"/>
      <c r="N75" s="39"/>
    </row>
    <row r="76" spans="2:14" x14ac:dyDescent="0.3">
      <c r="B76" s="48" t="s">
        <v>39</v>
      </c>
      <c r="C76" s="10" t="str">
        <f>U20</f>
        <v>1.81,  (1.49 , 3.89), 6</v>
      </c>
      <c r="D76" s="10" t="str">
        <f>Y20</f>
        <v>2.05,  (1.47 , 2.28), 3</v>
      </c>
      <c r="E76" s="53"/>
      <c r="I76" s="39"/>
      <c r="J76" s="39"/>
      <c r="K76" s="39"/>
      <c r="L76" s="39"/>
      <c r="M76" s="39"/>
      <c r="N76" s="39"/>
    </row>
    <row r="77" spans="2:14" x14ac:dyDescent="0.3">
      <c r="B77" s="48" t="s">
        <v>40</v>
      </c>
      <c r="C77" s="10" t="str">
        <f>U21</f>
        <v>1.87,  (1.46 , 3.36), 3</v>
      </c>
      <c r="D77" s="10" t="str">
        <f>Y21</f>
        <v>1.38,  (0.95 , 1.54), 3</v>
      </c>
      <c r="E77" s="53"/>
      <c r="I77" s="39"/>
      <c r="J77" s="39"/>
      <c r="K77" s="39"/>
      <c r="L77" s="39"/>
      <c r="M77" s="39"/>
      <c r="N77" s="39"/>
    </row>
    <row r="78" spans="2:14" x14ac:dyDescent="0.3">
      <c r="C78" s="39"/>
      <c r="D78" s="39"/>
      <c r="E78" s="39"/>
      <c r="I78" s="39"/>
      <c r="J78" s="39"/>
      <c r="K78" s="39"/>
      <c r="L78" s="39"/>
      <c r="M78" s="39"/>
      <c r="N78" s="39"/>
    </row>
    <row r="79" spans="2:14" x14ac:dyDescent="0.3">
      <c r="C79" s="39"/>
      <c r="D79" s="39"/>
      <c r="E79" s="39"/>
      <c r="I79" s="39"/>
      <c r="J79" s="39"/>
      <c r="K79" s="39"/>
      <c r="L79" s="39"/>
      <c r="M79" s="39"/>
      <c r="N79" s="39"/>
    </row>
    <row r="80" spans="2:14" x14ac:dyDescent="0.3">
      <c r="C80" s="39"/>
      <c r="D80" s="39"/>
      <c r="E80" s="39"/>
      <c r="I80" s="39"/>
      <c r="J80" s="39"/>
      <c r="K80" s="39"/>
      <c r="L80" s="39"/>
      <c r="M80" s="39"/>
      <c r="N80" s="39"/>
    </row>
    <row r="81" spans="2:75" x14ac:dyDescent="0.3">
      <c r="I81" s="39"/>
      <c r="J81" s="39"/>
      <c r="K81" s="39"/>
      <c r="L81" s="39"/>
      <c r="M81" s="39"/>
      <c r="N81" s="39"/>
    </row>
    <row r="82" spans="2:75" ht="25.8" x14ac:dyDescent="0.5">
      <c r="B82" s="57" t="s">
        <v>175</v>
      </c>
      <c r="I82" s="39"/>
      <c r="J82" s="39"/>
      <c r="K82" s="39"/>
      <c r="L82" s="39"/>
      <c r="M82" s="39"/>
      <c r="N82" s="39"/>
    </row>
    <row r="83" spans="2:75" x14ac:dyDescent="0.3">
      <c r="B83" t="s">
        <v>42</v>
      </c>
      <c r="C83" s="7">
        <v>44959</v>
      </c>
      <c r="I83" s="39"/>
      <c r="J83" s="39"/>
      <c r="K83" s="39"/>
      <c r="L83" s="39"/>
      <c r="M83" s="39"/>
      <c r="N83" s="39"/>
    </row>
    <row r="84" spans="2:75" ht="15" thickBot="1" x14ac:dyDescent="0.35">
      <c r="I84" s="39"/>
      <c r="J84" s="39"/>
      <c r="K84" s="39"/>
      <c r="L84" s="39"/>
      <c r="M84" s="39"/>
      <c r="N84" s="39"/>
    </row>
    <row r="85" spans="2:75" x14ac:dyDescent="0.3">
      <c r="B85" s="45" t="s">
        <v>37</v>
      </c>
      <c r="C85" s="46" t="s">
        <v>7</v>
      </c>
      <c r="D85" s="46" t="s">
        <v>0</v>
      </c>
      <c r="E85" s="47" t="s">
        <v>43</v>
      </c>
      <c r="AC85" s="1" t="s">
        <v>187</v>
      </c>
      <c r="AD85" t="s">
        <v>188</v>
      </c>
      <c r="AE85" t="s">
        <v>189</v>
      </c>
      <c r="AF85" t="s">
        <v>190</v>
      </c>
      <c r="AG85" t="s">
        <v>191</v>
      </c>
      <c r="AH85" t="s">
        <v>192</v>
      </c>
      <c r="AI85" t="s">
        <v>193</v>
      </c>
      <c r="AJ85" t="s">
        <v>194</v>
      </c>
      <c r="AK85" t="s">
        <v>194</v>
      </c>
      <c r="AL85" t="s">
        <v>195</v>
      </c>
      <c r="AM85" t="s">
        <v>196</v>
      </c>
      <c r="AN85" t="s">
        <v>197</v>
      </c>
      <c r="AO85" t="s">
        <v>198</v>
      </c>
      <c r="AP85" t="s">
        <v>199</v>
      </c>
      <c r="AQ85" t="s">
        <v>200</v>
      </c>
      <c r="BG85" s="1" t="s">
        <v>187</v>
      </c>
      <c r="BH85" t="s">
        <v>202</v>
      </c>
      <c r="BI85" t="s">
        <v>198</v>
      </c>
      <c r="BJ85" t="s">
        <v>203</v>
      </c>
      <c r="BK85" t="s">
        <v>204</v>
      </c>
      <c r="BL85" t="s">
        <v>205</v>
      </c>
      <c r="BM85" t="s">
        <v>206</v>
      </c>
      <c r="BN85" t="s">
        <v>207</v>
      </c>
      <c r="BO85" t="s">
        <v>208</v>
      </c>
      <c r="BP85" t="s">
        <v>209</v>
      </c>
      <c r="BQ85" t="s">
        <v>210</v>
      </c>
      <c r="BR85" t="s">
        <v>203</v>
      </c>
      <c r="BS85" t="s">
        <v>211</v>
      </c>
      <c r="BT85" t="s">
        <v>212</v>
      </c>
      <c r="BU85" t="s">
        <v>213</v>
      </c>
      <c r="BV85" t="s">
        <v>211</v>
      </c>
      <c r="BW85" t="s">
        <v>193</v>
      </c>
    </row>
    <row r="86" spans="2:75" x14ac:dyDescent="0.3">
      <c r="B86" s="48"/>
      <c r="C86" s="10"/>
      <c r="D86" s="10"/>
      <c r="E86" s="53"/>
      <c r="AC86" s="1" t="s">
        <v>201</v>
      </c>
      <c r="AD86">
        <v>12</v>
      </c>
      <c r="AE86">
        <v>9</v>
      </c>
      <c r="AF86">
        <v>10</v>
      </c>
      <c r="AG86">
        <v>10</v>
      </c>
      <c r="AH86">
        <v>14</v>
      </c>
      <c r="AI86">
        <v>15</v>
      </c>
      <c r="AJ86">
        <v>18</v>
      </c>
      <c r="AK86">
        <v>18</v>
      </c>
      <c r="AL86">
        <v>18</v>
      </c>
      <c r="AM86">
        <v>14</v>
      </c>
      <c r="AN86">
        <v>10</v>
      </c>
      <c r="AO86">
        <v>7</v>
      </c>
      <c r="AP86">
        <v>14</v>
      </c>
      <c r="AQ86">
        <v>13</v>
      </c>
      <c r="BG86" s="1" t="s">
        <v>201</v>
      </c>
      <c r="BH86">
        <v>10</v>
      </c>
      <c r="BI86">
        <v>7</v>
      </c>
      <c r="BJ86">
        <v>7</v>
      </c>
      <c r="BK86">
        <v>7</v>
      </c>
      <c r="BL86">
        <v>11</v>
      </c>
      <c r="BM86">
        <v>9</v>
      </c>
      <c r="BN86">
        <v>9</v>
      </c>
      <c r="BO86">
        <v>6</v>
      </c>
      <c r="BP86">
        <v>13</v>
      </c>
      <c r="BQ86">
        <v>8</v>
      </c>
      <c r="BR86">
        <v>7</v>
      </c>
      <c r="BS86">
        <v>11</v>
      </c>
      <c r="BT86">
        <v>14</v>
      </c>
      <c r="BU86">
        <v>15</v>
      </c>
      <c r="BV86">
        <v>11</v>
      </c>
      <c r="BW86">
        <v>15</v>
      </c>
    </row>
    <row r="87" spans="2:75" x14ac:dyDescent="0.3">
      <c r="B87" s="49" t="s">
        <v>74</v>
      </c>
      <c r="C87" s="25"/>
      <c r="D87" s="25"/>
      <c r="E87" s="53"/>
      <c r="AC87" s="1" t="s">
        <v>72</v>
      </c>
      <c r="AD87">
        <v>150</v>
      </c>
      <c r="AE87">
        <v>117</v>
      </c>
      <c r="AF87">
        <v>126</v>
      </c>
      <c r="AG87">
        <v>131</v>
      </c>
      <c r="AH87">
        <v>178</v>
      </c>
      <c r="AI87">
        <v>118</v>
      </c>
      <c r="AJ87">
        <v>224</v>
      </c>
      <c r="AK87">
        <v>224</v>
      </c>
      <c r="AL87">
        <v>216</v>
      </c>
      <c r="AM87">
        <v>173</v>
      </c>
      <c r="AN87">
        <v>130</v>
      </c>
      <c r="AO87">
        <v>85</v>
      </c>
      <c r="AP87">
        <v>177</v>
      </c>
      <c r="AQ87">
        <v>157</v>
      </c>
      <c r="BG87" s="1" t="s">
        <v>72</v>
      </c>
      <c r="BH87">
        <v>127</v>
      </c>
      <c r="BI87">
        <v>85</v>
      </c>
      <c r="BJ87">
        <v>88</v>
      </c>
      <c r="BK87">
        <v>93</v>
      </c>
      <c r="BL87">
        <v>134</v>
      </c>
      <c r="BM87">
        <v>111</v>
      </c>
      <c r="BN87" s="27">
        <v>114</v>
      </c>
      <c r="BO87" s="1">
        <v>81</v>
      </c>
      <c r="BP87">
        <v>161</v>
      </c>
      <c r="BQ87">
        <v>104</v>
      </c>
      <c r="BR87">
        <v>88</v>
      </c>
      <c r="BS87">
        <v>142</v>
      </c>
      <c r="BT87">
        <v>177</v>
      </c>
      <c r="BU87">
        <v>180</v>
      </c>
      <c r="BV87">
        <v>142</v>
      </c>
      <c r="BW87">
        <v>188</v>
      </c>
    </row>
    <row r="88" spans="2:75" ht="43.2" x14ac:dyDescent="0.3">
      <c r="B88" s="50" t="s">
        <v>38</v>
      </c>
      <c r="C88" s="10"/>
      <c r="D88" s="10"/>
      <c r="E88" s="53"/>
      <c r="O88" s="1" t="s">
        <v>183</v>
      </c>
      <c r="P88" s="1" t="s">
        <v>184</v>
      </c>
      <c r="Q88" s="1"/>
      <c r="R88" s="1"/>
      <c r="S88" s="1"/>
      <c r="T88" s="1"/>
      <c r="AC88" s="1" t="s">
        <v>180</v>
      </c>
      <c r="AD88" s="1" t="s">
        <v>67</v>
      </c>
      <c r="AE88" s="1" t="s">
        <v>73</v>
      </c>
      <c r="AF88" s="1" t="s">
        <v>68</v>
      </c>
      <c r="AG88" s="1" t="s">
        <v>63</v>
      </c>
      <c r="AH88" s="1" t="s">
        <v>71</v>
      </c>
      <c r="AI88" s="1" t="s">
        <v>181</v>
      </c>
      <c r="AJ88" s="1" t="s">
        <v>73</v>
      </c>
      <c r="AK88" s="64" t="s">
        <v>182</v>
      </c>
      <c r="AL88" s="1" t="s">
        <v>181</v>
      </c>
      <c r="AM88" s="1" t="s">
        <v>181</v>
      </c>
      <c r="AN88" s="1" t="s">
        <v>69</v>
      </c>
      <c r="AO88" s="1" t="s">
        <v>73</v>
      </c>
      <c r="AP88" s="1" t="s">
        <v>181</v>
      </c>
      <c r="AQ88" s="1" t="s">
        <v>73</v>
      </c>
      <c r="AR88" s="1" t="s">
        <v>73</v>
      </c>
      <c r="AU88" s="1"/>
      <c r="BG88" s="1" t="s">
        <v>180</v>
      </c>
      <c r="BH88" s="1" t="s">
        <v>54</v>
      </c>
      <c r="BI88" s="65" t="s">
        <v>214</v>
      </c>
      <c r="BJ88" s="65" t="s">
        <v>214</v>
      </c>
      <c r="BK88" s="65" t="s">
        <v>214</v>
      </c>
      <c r="BL88" s="1" t="s">
        <v>51</v>
      </c>
      <c r="BM88" s="1" t="s">
        <v>53</v>
      </c>
      <c r="BN88" s="1" t="s">
        <v>61</v>
      </c>
      <c r="BO88" s="65" t="s">
        <v>214</v>
      </c>
      <c r="BP88" s="1" t="s">
        <v>55</v>
      </c>
      <c r="BQ88" s="65" t="s">
        <v>214</v>
      </c>
      <c r="BR88" s="65" t="s">
        <v>214</v>
      </c>
      <c r="BS88" s="1"/>
      <c r="BT88" s="1"/>
      <c r="BU88" s="1"/>
      <c r="BV88" s="1"/>
      <c r="BW88" s="1"/>
    </row>
    <row r="89" spans="2:75" x14ac:dyDescent="0.3">
      <c r="B89" s="48" t="s">
        <v>39</v>
      </c>
      <c r="C89" s="10" t="str">
        <f>U95</f>
        <v>1.46,  (1.26 , 1.89), 5</v>
      </c>
      <c r="D89" s="10" t="str">
        <f>Y95</f>
        <v>3.2,  (2.28 , 3.25), 5</v>
      </c>
      <c r="E89" s="53"/>
      <c r="O89">
        <f>MEDIAN(AD89:AR89)</f>
        <v>16</v>
      </c>
      <c r="P89">
        <f>AVERAGE(AD89:AR89)</f>
        <v>13.6</v>
      </c>
      <c r="AC89" s="1" t="s">
        <v>185</v>
      </c>
      <c r="AD89">
        <f>AD87-BL87</f>
        <v>16</v>
      </c>
      <c r="AE89" t="s">
        <v>73</v>
      </c>
      <c r="AF89">
        <f>AF87-BM87</f>
        <v>15</v>
      </c>
      <c r="AG89">
        <f>AG87-BH87</f>
        <v>4</v>
      </c>
      <c r="AH89">
        <f>AH87-BP87</f>
        <v>17</v>
      </c>
      <c r="AI89" t="s">
        <v>73</v>
      </c>
      <c r="AJ89" t="s">
        <v>73</v>
      </c>
      <c r="AL89" t="s">
        <v>73</v>
      </c>
      <c r="AM89" t="s">
        <v>73</v>
      </c>
      <c r="AN89">
        <f>AN87-BN87</f>
        <v>16</v>
      </c>
      <c r="AO89" t="s">
        <v>73</v>
      </c>
      <c r="AP89" t="s">
        <v>73</v>
      </c>
      <c r="AQ89" t="s">
        <v>73</v>
      </c>
      <c r="AR89" t="s">
        <v>73</v>
      </c>
      <c r="BG89" s="1" t="s">
        <v>185</v>
      </c>
    </row>
    <row r="90" spans="2:75" x14ac:dyDescent="0.3">
      <c r="B90" s="48" t="s">
        <v>40</v>
      </c>
      <c r="C90" s="10" t="str">
        <f>U96</f>
        <v>1.8,  (1.66 , 1.86), 4</v>
      </c>
      <c r="D90" s="10" t="str">
        <f>Y96</f>
        <v>2.03,  (1.11 , 2.24), 4</v>
      </c>
      <c r="E90" s="53"/>
      <c r="P90" s="38" t="s">
        <v>218</v>
      </c>
      <c r="Q90" s="38"/>
      <c r="R90" s="38"/>
      <c r="S90" s="38"/>
      <c r="T90" s="38"/>
      <c r="AC90" s="1" t="s">
        <v>186</v>
      </c>
      <c r="AD90" s="7">
        <v>44949</v>
      </c>
      <c r="AE90" t="s">
        <v>73</v>
      </c>
      <c r="AF90" s="7">
        <v>44949</v>
      </c>
      <c r="AG90" s="7">
        <v>44949</v>
      </c>
      <c r="AH90" s="7">
        <v>44949</v>
      </c>
      <c r="AI90" t="s">
        <v>73</v>
      </c>
      <c r="AJ90" t="s">
        <v>73</v>
      </c>
      <c r="AL90" t="s">
        <v>73</v>
      </c>
      <c r="AM90" t="s">
        <v>73</v>
      </c>
      <c r="AN90" s="7">
        <v>44949</v>
      </c>
      <c r="AO90" t="s">
        <v>73</v>
      </c>
      <c r="AP90" t="s">
        <v>73</v>
      </c>
      <c r="AQ90" t="s">
        <v>73</v>
      </c>
      <c r="AR90" t="s">
        <v>73</v>
      </c>
      <c r="BG90" s="1" t="s">
        <v>186</v>
      </c>
      <c r="BH90" s="7">
        <v>44949</v>
      </c>
      <c r="BL90" s="7">
        <v>44949</v>
      </c>
      <c r="BM90" s="7">
        <v>44949</v>
      </c>
      <c r="BN90" s="7">
        <v>44949</v>
      </c>
      <c r="BP90" s="7">
        <v>44949</v>
      </c>
    </row>
    <row r="91" spans="2:75" x14ac:dyDescent="0.3">
      <c r="B91" s="50" t="s">
        <v>41</v>
      </c>
      <c r="C91" s="10"/>
      <c r="D91" s="10"/>
      <c r="E91" s="53"/>
      <c r="P91" t="s">
        <v>219</v>
      </c>
    </row>
    <row r="92" spans="2:75" x14ac:dyDescent="0.3">
      <c r="B92" s="48" t="s">
        <v>39</v>
      </c>
      <c r="C92" s="10" t="str">
        <f t="shared" ref="C92:C93" si="2">U98</f>
        <v>9.27,  (9.27 , 9.27), 1</v>
      </c>
      <c r="D92" s="10" t="str">
        <f t="shared" ref="D92:D93" si="3">Y98</f>
        <v>0.89,  (0.89 , 0.89), 1</v>
      </c>
      <c r="E92" s="53"/>
      <c r="O92" s="28" t="s">
        <v>178</v>
      </c>
      <c r="P92" t="s">
        <v>215</v>
      </c>
    </row>
    <row r="93" spans="2:75" x14ac:dyDescent="0.3">
      <c r="B93" s="48" t="s">
        <v>40</v>
      </c>
      <c r="C93" s="10" t="str">
        <f t="shared" si="2"/>
        <v>4.86,  (4.86 , 4.86), 1</v>
      </c>
      <c r="D93" s="10" t="str">
        <f t="shared" si="3"/>
        <v>0.52,  (0.52 , 0.52), 1</v>
      </c>
      <c r="E93" s="53"/>
      <c r="P93" t="s">
        <v>259</v>
      </c>
      <c r="Q93" t="s">
        <v>260</v>
      </c>
      <c r="R93" t="s">
        <v>259</v>
      </c>
      <c r="S93" t="s">
        <v>260</v>
      </c>
      <c r="T93" s="28"/>
      <c r="AC93" s="49" t="s">
        <v>74</v>
      </c>
      <c r="BG93" s="49" t="s">
        <v>74</v>
      </c>
    </row>
    <row r="94" spans="2:75" ht="15" thickBot="1" x14ac:dyDescent="0.35">
      <c r="B94" s="51"/>
      <c r="C94" s="55"/>
      <c r="D94" s="55"/>
      <c r="E94" s="56"/>
      <c r="AC94" s="50" t="s">
        <v>38</v>
      </c>
      <c r="BG94" s="50" t="s">
        <v>38</v>
      </c>
    </row>
    <row r="95" spans="2:75" x14ac:dyDescent="0.3">
      <c r="M95" t="s">
        <v>233</v>
      </c>
      <c r="N95">
        <f>_xlfn.T.TEST(AD95:BC95,BH95:CF95,2,2)</f>
        <v>6.6440967371673501E-2</v>
      </c>
      <c r="O95" t="s">
        <v>171</v>
      </c>
      <c r="P95" s="39">
        <v>5</v>
      </c>
      <c r="Q95" s="39">
        <v>10</v>
      </c>
      <c r="R95" s="39">
        <v>5</v>
      </c>
      <c r="S95" s="39">
        <v>9</v>
      </c>
      <c r="T95" s="68"/>
      <c r="U95" t="str">
        <f>CONCATENATE(TRUNC(V95,2), ",  (", TRUNC(W95,2), " , ", TRUNC(X95,2), "), ", P95)</f>
        <v>1.46,  (1.26 , 1.89), 5</v>
      </c>
      <c r="V95">
        <f>MEDIAN(AD95:BC95)</f>
        <v>1.4686184359230401</v>
      </c>
      <c r="W95">
        <f>_xlfn.PERCENTILE.INC(AD95:BC95, 0.25)</f>
        <v>1.2682005701616701</v>
      </c>
      <c r="X95">
        <f>_xlfn.PERCENTILE.INC(AD95:BC95, 0.75)</f>
        <v>1.8963994785513201</v>
      </c>
      <c r="Y95" t="str">
        <f>CONCATENATE(TRUNC(Z95,2), ",  (", TRUNC(AA95,2), " , ", TRUNC(AB95,2), "), ", R95)</f>
        <v>3.2,  (2.28 , 3.25), 5</v>
      </c>
      <c r="Z95">
        <f>MEDIAN(BH95:CF95)</f>
        <v>3.2054336749115202</v>
      </c>
      <c r="AA95">
        <f>_xlfn.PERCENTILE.INC(BH95:CF95, 0.25)</f>
        <v>2.2898171326099801</v>
      </c>
      <c r="AB95">
        <f>_xlfn.PERCENTILE.INC(BH95:CF95, 0.75)</f>
        <v>3.2576969564125502</v>
      </c>
      <c r="AC95" s="48" t="s">
        <v>39</v>
      </c>
      <c r="AD95" s="58">
        <v>2.8195488086367302</v>
      </c>
      <c r="AE95" s="59" t="s">
        <v>162</v>
      </c>
      <c r="AF95" s="58">
        <v>1.0353460761712401</v>
      </c>
      <c r="AG95" s="60">
        <v>1.2682005701616701</v>
      </c>
      <c r="AH95" s="58">
        <v>1.4686184359230401</v>
      </c>
      <c r="AI95" s="59" t="s">
        <v>162</v>
      </c>
      <c r="AJ95" s="58" t="s">
        <v>162</v>
      </c>
      <c r="AK95" s="63" t="s">
        <v>162</v>
      </c>
      <c r="AL95" s="61" t="s">
        <v>162</v>
      </c>
      <c r="AM95" s="61" t="s">
        <v>162</v>
      </c>
      <c r="AN95">
        <v>1.8963994785513201</v>
      </c>
      <c r="AO95" s="58" t="s">
        <v>162</v>
      </c>
      <c r="AP95" s="61" t="s">
        <v>162</v>
      </c>
      <c r="AQ95" s="58" t="s">
        <v>162</v>
      </c>
      <c r="BG95" s="48" t="s">
        <v>39</v>
      </c>
      <c r="BH95" s="58">
        <v>2.2898171326099801</v>
      </c>
      <c r="BI95" s="66" t="s">
        <v>162</v>
      </c>
      <c r="BJ95" s="66" t="s">
        <v>162</v>
      </c>
      <c r="BK95" s="66" t="s">
        <v>162</v>
      </c>
      <c r="BL95" s="58">
        <v>4.0945895135836201</v>
      </c>
      <c r="BM95" s="58">
        <v>1.4709913135435499</v>
      </c>
      <c r="BN95" s="58">
        <v>3.2054336749115202</v>
      </c>
      <c r="BO95" s="66" t="s">
        <v>162</v>
      </c>
      <c r="BP95" s="58">
        <v>3.2576969564125502</v>
      </c>
      <c r="BQ95" s="66" t="s">
        <v>162</v>
      </c>
      <c r="BR95" s="66" t="s">
        <v>162</v>
      </c>
    </row>
    <row r="96" spans="2:75" x14ac:dyDescent="0.3">
      <c r="M96" t="s">
        <v>173</v>
      </c>
      <c r="N96">
        <f>_xlfn.T.TEST(AD96:BC96,BH96:CF96,2,2)</f>
        <v>0.88854127350774958</v>
      </c>
      <c r="O96" t="s">
        <v>171</v>
      </c>
      <c r="P96" s="39">
        <v>4</v>
      </c>
      <c r="Q96" s="39">
        <v>10</v>
      </c>
      <c r="R96" s="39">
        <v>4</v>
      </c>
      <c r="S96" s="39">
        <v>9</v>
      </c>
      <c r="T96" s="68"/>
      <c r="U96" t="str">
        <f t="shared" ref="U96:U99" si="4">CONCATENATE(TRUNC(V96,2), ",  (", TRUNC(W96,2), " , ", TRUNC(X96,2), "), ", P96)</f>
        <v>1.8,  (1.66 , 1.86), 4</v>
      </c>
      <c r="V96">
        <f>MEDIAN(AD96:BC96)</f>
        <v>1.8082043668973848</v>
      </c>
      <c r="W96">
        <f>_xlfn.PERCENTILE.INC(AD96:BC96, 0.25)</f>
        <v>1.6680855322082924</v>
      </c>
      <c r="X96">
        <f>_xlfn.PERCENTILE.INC(AD96:BC96, 0.75)</f>
        <v>1.8683160883630749</v>
      </c>
      <c r="Y96" t="str">
        <f t="shared" ref="Y96:Y99" si="5">CONCATENATE(TRUNC(Z96,2), ",  (", TRUNC(AA96,2), " , ", TRUNC(AB96,2), "), ", R96)</f>
        <v>2.03,  (1.11 , 2.24), 4</v>
      </c>
      <c r="Z96">
        <f>MEDIAN(BH96:CF96)</f>
        <v>2.0313435100000001</v>
      </c>
      <c r="AA96">
        <f>_xlfn.PERCENTILE.INC(BH96:CF96, 0.25)</f>
        <v>1.11700846174386</v>
      </c>
      <c r="AB96">
        <f>_xlfn.PERCENTILE.INC(BH96:CF96, 0.75)</f>
        <v>2.2407940760098302</v>
      </c>
      <c r="AC96" s="48" t="s">
        <v>40</v>
      </c>
      <c r="AD96" s="58">
        <v>1.92065960521003</v>
      </c>
      <c r="AE96" s="59" t="s">
        <v>162</v>
      </c>
      <c r="AF96" s="58">
        <v>1.85086824941409</v>
      </c>
      <c r="AG96" s="58">
        <v>1.37572067569113</v>
      </c>
      <c r="AH96" s="59" t="s">
        <v>162</v>
      </c>
      <c r="AI96" s="59" t="s">
        <v>162</v>
      </c>
      <c r="AJ96" s="58" t="s">
        <v>162</v>
      </c>
      <c r="AK96" s="63" t="s">
        <v>162</v>
      </c>
      <c r="AL96" s="61" t="s">
        <v>162</v>
      </c>
      <c r="AM96" s="61" t="s">
        <v>162</v>
      </c>
      <c r="AN96">
        <v>1.7655404843806799</v>
      </c>
      <c r="AO96" s="58" t="s">
        <v>162</v>
      </c>
      <c r="AP96" s="61" t="s">
        <v>162</v>
      </c>
      <c r="AQ96" s="58" t="s">
        <v>162</v>
      </c>
      <c r="BG96" s="48" t="s">
        <v>40</v>
      </c>
      <c r="BH96" s="58">
        <v>1.11700846174386</v>
      </c>
      <c r="BI96" s="66" t="s">
        <v>162</v>
      </c>
      <c r="BJ96" s="66" t="s">
        <v>162</v>
      </c>
      <c r="BK96" s="66" t="s">
        <v>162</v>
      </c>
      <c r="BL96" s="58">
        <v>2.2407940760098302</v>
      </c>
      <c r="BM96" s="58">
        <v>2.0313435100000001</v>
      </c>
      <c r="BN96" s="58">
        <v>2.7796820045573698</v>
      </c>
      <c r="BO96" s="66" t="s">
        <v>162</v>
      </c>
      <c r="BP96" s="58">
        <v>0.78493182229421399</v>
      </c>
      <c r="BQ96" s="66" t="s">
        <v>162</v>
      </c>
      <c r="BR96" s="66" t="s">
        <v>162</v>
      </c>
    </row>
    <row r="97" spans="13:70" x14ac:dyDescent="0.3">
      <c r="AC97" s="50" t="s">
        <v>41</v>
      </c>
      <c r="AK97" s="63" t="s">
        <v>162</v>
      </c>
      <c r="BG97" s="50" t="s">
        <v>41</v>
      </c>
    </row>
    <row r="98" spans="13:70" x14ac:dyDescent="0.3">
      <c r="M98" t="s">
        <v>172</v>
      </c>
      <c r="N98" t="e">
        <f>_xlfn.T.TEST(AD98:BC98,BH98:CF98,2,2)</f>
        <v>#DIV/0!</v>
      </c>
      <c r="O98" t="s">
        <v>171</v>
      </c>
      <c r="P98" s="39">
        <v>1</v>
      </c>
      <c r="Q98" s="39">
        <v>7</v>
      </c>
      <c r="R98" s="39">
        <v>1</v>
      </c>
      <c r="S98" s="39">
        <v>3</v>
      </c>
      <c r="T98" s="68"/>
      <c r="U98" t="str">
        <f t="shared" si="4"/>
        <v>9.27,  (9.27 , 9.27), 1</v>
      </c>
      <c r="V98">
        <f>MEDIAN(AD98:BC98)</f>
        <v>9.2743941970288297</v>
      </c>
      <c r="W98">
        <f>_xlfn.PERCENTILE.INC(AD98:BC98, 0.25)</f>
        <v>9.2743941970288297</v>
      </c>
      <c r="X98">
        <f>_xlfn.PERCENTILE.INC(AD98:BC98, 0.75)</f>
        <v>9.2743941970288297</v>
      </c>
      <c r="Y98" t="str">
        <f t="shared" si="5"/>
        <v>0.89,  (0.89 , 0.89), 1</v>
      </c>
      <c r="Z98">
        <f>MEDIAN(BH98:CF98)</f>
        <v>0.89316309394488103</v>
      </c>
      <c r="AA98">
        <f>_xlfn.PERCENTILE.INC(BH98:CF98, 0.25)</f>
        <v>0.89316309394488103</v>
      </c>
      <c r="AB98">
        <f>_xlfn.PERCENTILE.INC(BH98:CF98, 0.75)</f>
        <v>0.89316309394488103</v>
      </c>
      <c r="AC98" s="48" t="s">
        <v>39</v>
      </c>
      <c r="AD98" t="s">
        <v>162</v>
      </c>
      <c r="AE98" t="s">
        <v>162</v>
      </c>
      <c r="AF98" t="s">
        <v>162</v>
      </c>
      <c r="AG98" t="s">
        <v>162</v>
      </c>
      <c r="AH98" s="58">
        <v>9.2743941970288297</v>
      </c>
      <c r="AI98" s="63" t="s">
        <v>162</v>
      </c>
      <c r="AJ98" s="58" t="s">
        <v>162</v>
      </c>
      <c r="AK98" s="63" t="s">
        <v>162</v>
      </c>
      <c r="AL98" s="63" t="s">
        <v>162</v>
      </c>
      <c r="AM98" s="63" t="s">
        <v>162</v>
      </c>
      <c r="AN98" s="69" t="s">
        <v>162</v>
      </c>
      <c r="AO98" s="58" t="s">
        <v>162</v>
      </c>
      <c r="AP98" s="63" t="s">
        <v>162</v>
      </c>
      <c r="AQ98" s="58" t="s">
        <v>162</v>
      </c>
      <c r="BG98" s="48" t="s">
        <v>39</v>
      </c>
      <c r="BH98" t="s">
        <v>162</v>
      </c>
      <c r="BI98" t="s">
        <v>162</v>
      </c>
      <c r="BJ98" t="s">
        <v>162</v>
      </c>
      <c r="BK98" t="s">
        <v>162</v>
      </c>
      <c r="BL98" t="s">
        <v>162</v>
      </c>
      <c r="BM98" t="s">
        <v>162</v>
      </c>
      <c r="BN98" t="s">
        <v>162</v>
      </c>
      <c r="BO98" t="s">
        <v>162</v>
      </c>
      <c r="BP98" s="58">
        <v>0.89316309394488103</v>
      </c>
      <c r="BQ98" s="66" t="s">
        <v>162</v>
      </c>
      <c r="BR98" s="66" t="s">
        <v>162</v>
      </c>
    </row>
    <row r="99" spans="13:70" x14ac:dyDescent="0.3">
      <c r="M99" t="s">
        <v>172</v>
      </c>
      <c r="N99" t="e">
        <f>_xlfn.T.TEST(AD99:BC99,BH99:CF99,2,2)</f>
        <v>#DIV/0!</v>
      </c>
      <c r="O99" t="s">
        <v>171</v>
      </c>
      <c r="P99" s="39">
        <v>1</v>
      </c>
      <c r="Q99" s="39">
        <v>7</v>
      </c>
      <c r="R99" s="39">
        <v>1</v>
      </c>
      <c r="S99" s="39">
        <v>3</v>
      </c>
      <c r="T99" s="68"/>
      <c r="U99" t="str">
        <f t="shared" si="4"/>
        <v>4.86,  (4.86 , 4.86), 1</v>
      </c>
      <c r="V99">
        <f>MEDIAN(AD99:BC99)</f>
        <v>4.8630034770572301</v>
      </c>
      <c r="W99">
        <f>_xlfn.PERCENTILE.INC(AD99:BC99, 0.25)</f>
        <v>4.8630034770572301</v>
      </c>
      <c r="X99">
        <f>_xlfn.PERCENTILE.INC(AD99:BC99, 0.75)</f>
        <v>4.8630034770572301</v>
      </c>
      <c r="Y99" t="str">
        <f t="shared" si="5"/>
        <v>0.52,  (0.52 , 0.52), 1</v>
      </c>
      <c r="Z99">
        <f>MEDIAN(BH99:CF99)</f>
        <v>0.52535944249941502</v>
      </c>
      <c r="AA99">
        <f>_xlfn.PERCENTILE.INC(BH99:CF99, 0.25)</f>
        <v>0.52535944249941502</v>
      </c>
      <c r="AB99">
        <f>_xlfn.PERCENTILE.INC(BH99:CF99, 0.75)</f>
        <v>0.52535944249941502</v>
      </c>
      <c r="AC99" s="48" t="s">
        <v>40</v>
      </c>
      <c r="AD99" t="s">
        <v>162</v>
      </c>
      <c r="AE99" t="s">
        <v>162</v>
      </c>
      <c r="AF99" t="s">
        <v>162</v>
      </c>
      <c r="AG99" t="s">
        <v>162</v>
      </c>
      <c r="AH99" s="58">
        <v>4.8630034770572301</v>
      </c>
      <c r="AI99" s="59" t="s">
        <v>162</v>
      </c>
      <c r="AJ99" s="58" t="s">
        <v>162</v>
      </c>
      <c r="AK99" s="63" t="s">
        <v>162</v>
      </c>
      <c r="AL99" s="63" t="s">
        <v>162</v>
      </c>
      <c r="AM99" s="63" t="s">
        <v>162</v>
      </c>
      <c r="AN99" s="69" t="s">
        <v>162</v>
      </c>
      <c r="AO99" s="58" t="s">
        <v>162</v>
      </c>
      <c r="AP99" s="63" t="s">
        <v>162</v>
      </c>
      <c r="AQ99" s="58" t="s">
        <v>162</v>
      </c>
      <c r="BG99" s="48" t="s">
        <v>40</v>
      </c>
      <c r="BH99" t="s">
        <v>162</v>
      </c>
      <c r="BI99" t="s">
        <v>162</v>
      </c>
      <c r="BJ99" t="s">
        <v>162</v>
      </c>
      <c r="BK99" t="s">
        <v>162</v>
      </c>
      <c r="BL99" t="s">
        <v>162</v>
      </c>
      <c r="BM99" t="s">
        <v>162</v>
      </c>
      <c r="BN99" t="s">
        <v>162</v>
      </c>
      <c r="BO99" t="s">
        <v>162</v>
      </c>
      <c r="BP99" s="58">
        <v>0.52535944249941502</v>
      </c>
      <c r="BQ99" s="66" t="s">
        <v>162</v>
      </c>
      <c r="BR99" s="66" t="s">
        <v>162</v>
      </c>
    </row>
    <row r="100" spans="13:70" x14ac:dyDescent="0.3">
      <c r="AN100" t="s">
        <v>231</v>
      </c>
    </row>
  </sheetData>
  <mergeCells count="8">
    <mergeCell ref="B54:D54"/>
    <mergeCell ref="B55:D55"/>
    <mergeCell ref="B11:D11"/>
    <mergeCell ref="B14:D14"/>
    <mergeCell ref="B29:D29"/>
    <mergeCell ref="B26:D26"/>
    <mergeCell ref="B42:D42"/>
    <mergeCell ref="B43:D43"/>
  </mergeCells>
  <pageMargins left="0.7" right="0.7" top="0.75" bottom="0.75" header="0.3" footer="0.3"/>
  <pageSetup scale="1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C10B-0987-4D4B-A144-E84A4AA5D044}">
  <sheetPr>
    <pageSetUpPr fitToPage="1"/>
  </sheetPr>
  <dimension ref="A1:CI65"/>
  <sheetViews>
    <sheetView zoomScale="85" zoomScaleNormal="85" workbookViewId="0">
      <pane xSplit="1" ySplit="7" topLeftCell="B12" activePane="bottomRight" state="frozen"/>
      <selection pane="topRight" activeCell="B1" sqref="B1"/>
      <selection pane="bottomLeft" activeCell="A8" sqref="A8"/>
      <selection pane="bottomRight" activeCell="F28" sqref="F27:F28"/>
    </sheetView>
  </sheetViews>
  <sheetFormatPr defaultRowHeight="14.4" x14ac:dyDescent="0.3"/>
  <cols>
    <col min="1" max="1" width="22.88671875" customWidth="1"/>
    <col min="2" max="3" width="38.6640625" customWidth="1"/>
    <col min="4" max="4" width="10.33203125" customWidth="1"/>
    <col min="5" max="5" width="22.44140625" customWidth="1"/>
    <col min="6" max="6" width="23.109375" customWidth="1"/>
    <col min="7" max="7" width="34.33203125" customWidth="1"/>
    <col min="8" max="8" width="12.6640625" customWidth="1"/>
    <col min="9" max="9" width="18.6640625" customWidth="1"/>
    <col min="10" max="10" width="12.6640625" customWidth="1"/>
    <col min="11" max="11" width="27.6640625" customWidth="1"/>
    <col min="12" max="13" width="12.6640625" customWidth="1"/>
    <col min="14" max="14" width="32.88671875" customWidth="1"/>
    <col min="15" max="19" width="12.6640625" customWidth="1"/>
    <col min="20" max="20" width="26" customWidth="1"/>
    <col min="21" max="23" width="12.6640625" customWidth="1"/>
    <col min="24" max="24" width="26.109375" customWidth="1"/>
    <col min="25" max="27" width="12.6640625" customWidth="1"/>
    <col min="28" max="28" width="28.33203125" customWidth="1"/>
    <col min="29" max="57" width="12.6640625" customWidth="1"/>
    <col min="58" max="58" width="23.109375" customWidth="1"/>
    <col min="59" max="86" width="12.6640625" customWidth="1"/>
  </cols>
  <sheetData>
    <row r="1" spans="1:87" x14ac:dyDescent="0.3">
      <c r="A1" t="s">
        <v>42</v>
      </c>
      <c r="H1" s="11" t="s">
        <v>47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2"/>
      <c r="V1" s="12"/>
      <c r="W1" s="12"/>
      <c r="X1" s="12"/>
      <c r="Y1" s="12"/>
      <c r="Z1" s="12"/>
      <c r="AA1" s="12"/>
      <c r="AC1" s="13" t="s">
        <v>48</v>
      </c>
      <c r="AD1" s="13"/>
      <c r="AE1" s="13"/>
      <c r="AF1" s="13"/>
    </row>
    <row r="2" spans="1:87" x14ac:dyDescent="0.3">
      <c r="A2" s="7">
        <v>44975</v>
      </c>
    </row>
    <row r="3" spans="1:87" x14ac:dyDescent="0.3">
      <c r="AC3" s="14"/>
      <c r="AD3" s="15" t="s">
        <v>49</v>
      </c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F3" s="16"/>
      <c r="BG3" s="17"/>
      <c r="BH3" s="17"/>
      <c r="BI3" s="17"/>
      <c r="BJ3" s="17"/>
      <c r="BK3" s="18" t="s">
        <v>50</v>
      </c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</row>
    <row r="4" spans="1:87" x14ac:dyDescent="0.3">
      <c r="BF4" s="16"/>
    </row>
    <row r="5" spans="1:87" ht="43.2" x14ac:dyDescent="0.3">
      <c r="E5" s="1"/>
      <c r="F5" s="1"/>
      <c r="AB5" t="s">
        <v>96</v>
      </c>
      <c r="AC5" s="1" t="s">
        <v>51</v>
      </c>
      <c r="AD5" s="1" t="s">
        <v>52</v>
      </c>
      <c r="AE5" s="1" t="s">
        <v>53</v>
      </c>
      <c r="AF5" s="1" t="s">
        <v>54</v>
      </c>
      <c r="AG5" s="1" t="s">
        <v>55</v>
      </c>
      <c r="AH5" s="1" t="s">
        <v>56</v>
      </c>
      <c r="AI5" s="1" t="s">
        <v>97</v>
      </c>
      <c r="AJ5" s="29" t="s">
        <v>98</v>
      </c>
      <c r="AK5" s="29" t="s">
        <v>99</v>
      </c>
      <c r="AL5" s="29" t="s">
        <v>100</v>
      </c>
      <c r="AM5" s="29" t="s">
        <v>101</v>
      </c>
      <c r="AN5" s="29" t="s">
        <v>102</v>
      </c>
      <c r="AO5" s="29" t="s">
        <v>103</v>
      </c>
      <c r="AP5" s="29" t="s">
        <v>104</v>
      </c>
      <c r="AQ5" s="1" t="s">
        <v>105</v>
      </c>
      <c r="AR5" s="1" t="s">
        <v>106</v>
      </c>
      <c r="AS5" s="1" t="s">
        <v>107</v>
      </c>
      <c r="AT5" s="1" t="s">
        <v>108</v>
      </c>
      <c r="AU5" s="1" t="s">
        <v>109</v>
      </c>
      <c r="AV5" s="1" t="s">
        <v>110</v>
      </c>
      <c r="AW5" s="1" t="s">
        <v>111</v>
      </c>
      <c r="AX5" s="1" t="s">
        <v>112</v>
      </c>
      <c r="AY5" s="1" t="s">
        <v>113</v>
      </c>
      <c r="AZ5" s="1" t="s">
        <v>114</v>
      </c>
      <c r="BA5" s="1" t="s">
        <v>115</v>
      </c>
      <c r="BB5" s="1" t="s">
        <v>116</v>
      </c>
      <c r="BC5" s="1"/>
      <c r="BE5" s="30" t="s">
        <v>117</v>
      </c>
      <c r="BF5" s="16"/>
      <c r="BO5" s="29" t="s">
        <v>118</v>
      </c>
      <c r="BP5" s="31" t="s">
        <v>119</v>
      </c>
      <c r="BQ5" s="31" t="s">
        <v>120</v>
      </c>
      <c r="BR5" s="31" t="s">
        <v>121</v>
      </c>
      <c r="BS5" s="32" t="s">
        <v>122</v>
      </c>
      <c r="BT5" s="32" t="s">
        <v>123</v>
      </c>
      <c r="BU5" s="31" t="s">
        <v>258</v>
      </c>
      <c r="BV5" s="31" t="s">
        <v>267</v>
      </c>
      <c r="BW5" s="31" t="s">
        <v>268</v>
      </c>
      <c r="BX5" s="92" t="s">
        <v>269</v>
      </c>
      <c r="BY5" s="33" t="s">
        <v>128</v>
      </c>
      <c r="BZ5" s="33" t="s">
        <v>129</v>
      </c>
      <c r="CA5" s="33" t="s">
        <v>130</v>
      </c>
      <c r="CB5" s="33" t="s">
        <v>131</v>
      </c>
      <c r="CC5" s="33" t="s">
        <v>132</v>
      </c>
      <c r="CD5" s="33" t="s">
        <v>133</v>
      </c>
      <c r="CE5" s="33" t="s">
        <v>134</v>
      </c>
    </row>
    <row r="6" spans="1:87" ht="28.8" x14ac:dyDescent="0.3">
      <c r="L6" s="38" t="s">
        <v>163</v>
      </c>
      <c r="AB6" t="s">
        <v>135</v>
      </c>
      <c r="AH6" s="1" t="s">
        <v>136</v>
      </c>
      <c r="AI6" s="1" t="s">
        <v>137</v>
      </c>
      <c r="AJ6" s="1"/>
      <c r="AK6" s="1" t="s">
        <v>138</v>
      </c>
      <c r="AL6" s="1" t="s">
        <v>139</v>
      </c>
      <c r="AM6" s="19" t="s">
        <v>61</v>
      </c>
      <c r="AN6" s="34" t="s">
        <v>62</v>
      </c>
      <c r="AO6" s="19" t="s">
        <v>140</v>
      </c>
      <c r="AP6" s="34" t="s">
        <v>141</v>
      </c>
      <c r="BE6">
        <v>12</v>
      </c>
      <c r="BF6" s="16"/>
    </row>
    <row r="7" spans="1:87" s="24" customFormat="1" ht="28.8" x14ac:dyDescent="0.3">
      <c r="G7" s="28" t="s">
        <v>8</v>
      </c>
      <c r="H7" s="28" t="s">
        <v>158</v>
      </c>
      <c r="I7" s="1" t="s">
        <v>240</v>
      </c>
      <c r="J7" t="s">
        <v>241</v>
      </c>
      <c r="K7" t="s">
        <v>8</v>
      </c>
      <c r="L7" s="28" t="s">
        <v>158</v>
      </c>
      <c r="M7" t="s">
        <v>43</v>
      </c>
      <c r="N7" t="s">
        <v>164</v>
      </c>
      <c r="O7" s="15" t="s">
        <v>49</v>
      </c>
      <c r="P7" s="15"/>
      <c r="Q7" s="18" t="s">
        <v>50</v>
      </c>
      <c r="R7" s="18"/>
      <c r="S7"/>
      <c r="T7" s="14"/>
      <c r="U7" s="15" t="s">
        <v>49</v>
      </c>
      <c r="V7" s="14"/>
      <c r="W7" s="14"/>
      <c r="X7" s="17"/>
      <c r="Y7" s="18" t="s">
        <v>50</v>
      </c>
      <c r="Z7" s="17"/>
      <c r="AA7" s="17"/>
      <c r="AB7" t="s">
        <v>142</v>
      </c>
      <c r="AC7" s="19" t="s">
        <v>51</v>
      </c>
      <c r="AD7" s="20" t="s">
        <v>52</v>
      </c>
      <c r="AE7" s="19" t="s">
        <v>53</v>
      </c>
      <c r="AF7" s="19" t="s">
        <v>54</v>
      </c>
      <c r="AG7" s="35" t="s">
        <v>55</v>
      </c>
      <c r="AH7" s="35" t="s">
        <v>56</v>
      </c>
      <c r="AI7" s="20" t="s">
        <v>57</v>
      </c>
      <c r="AJ7" s="35" t="s">
        <v>58</v>
      </c>
      <c r="AK7" s="35" t="s">
        <v>59</v>
      </c>
      <c r="AL7" s="35" t="s">
        <v>60</v>
      </c>
      <c r="AM7" s="19" t="s">
        <v>61</v>
      </c>
      <c r="AN7" t="s">
        <v>143</v>
      </c>
      <c r="AO7" s="19" t="s">
        <v>62</v>
      </c>
      <c r="AP7" t="s">
        <v>143</v>
      </c>
      <c r="AQ7" s="1" t="s">
        <v>105</v>
      </c>
      <c r="AR7" s="1" t="s">
        <v>106</v>
      </c>
      <c r="AS7" s="1"/>
      <c r="AT7" s="1"/>
      <c r="AU7" s="1"/>
      <c r="AV7" s="1"/>
      <c r="AW7" s="1"/>
      <c r="AX7" s="1"/>
      <c r="AY7" s="1"/>
      <c r="AZ7" s="1"/>
      <c r="BA7" s="1"/>
      <c r="BB7" s="1"/>
      <c r="BC7"/>
      <c r="BD7" s="1"/>
      <c r="BE7" s="1"/>
      <c r="BF7" s="21"/>
      <c r="BG7" s="19" t="s">
        <v>63</v>
      </c>
      <c r="BH7" s="19" t="s">
        <v>64</v>
      </c>
      <c r="BI7" s="36" t="s">
        <v>65</v>
      </c>
      <c r="BJ7" s="22" t="s">
        <v>66</v>
      </c>
      <c r="BK7" s="19" t="s">
        <v>67</v>
      </c>
      <c r="BL7" s="36" t="s">
        <v>68</v>
      </c>
      <c r="BM7" s="19" t="s">
        <v>69</v>
      </c>
      <c r="BN7" s="19" t="s">
        <v>70</v>
      </c>
      <c r="BO7" s="19" t="s">
        <v>71</v>
      </c>
      <c r="BP7" s="31" t="s">
        <v>119</v>
      </c>
      <c r="BQ7" s="31" t="s">
        <v>120</v>
      </c>
      <c r="BR7" s="31" t="s">
        <v>121</v>
      </c>
      <c r="BS7" s="32" t="s">
        <v>122</v>
      </c>
      <c r="BT7" s="32" t="s">
        <v>123</v>
      </c>
      <c r="BU7" s="31" t="s">
        <v>258</v>
      </c>
      <c r="BV7" s="31" t="s">
        <v>267</v>
      </c>
      <c r="BW7" s="31" t="s">
        <v>268</v>
      </c>
      <c r="BX7" s="92" t="s">
        <v>269</v>
      </c>
      <c r="BY7" s="33" t="s">
        <v>128</v>
      </c>
      <c r="BZ7" s="33" t="s">
        <v>129</v>
      </c>
      <c r="CA7" s="33" t="s">
        <v>130</v>
      </c>
      <c r="CB7" s="33" t="s">
        <v>131</v>
      </c>
      <c r="CC7" s="33" t="s">
        <v>132</v>
      </c>
      <c r="CD7" s="33" t="s">
        <v>133</v>
      </c>
      <c r="CE7" s="33" t="s">
        <v>134</v>
      </c>
      <c r="CF7"/>
      <c r="CG7"/>
      <c r="CH7"/>
      <c r="CI7"/>
    </row>
    <row r="8" spans="1:87" ht="25.8" x14ac:dyDescent="0.5">
      <c r="A8" s="57" t="s">
        <v>174</v>
      </c>
      <c r="D8" s="73" t="s">
        <v>249</v>
      </c>
    </row>
    <row r="9" spans="1:87" x14ac:dyDescent="0.3">
      <c r="A9" t="s">
        <v>42</v>
      </c>
      <c r="B9" s="7">
        <f>A2</f>
        <v>44975</v>
      </c>
    </row>
    <row r="10" spans="1:87" ht="28.8" x14ac:dyDescent="0.3">
      <c r="O10" s="38" t="s">
        <v>218</v>
      </c>
      <c r="P10" s="38"/>
      <c r="Q10" s="38"/>
      <c r="R10" s="38"/>
      <c r="S10" s="38"/>
      <c r="T10" s="28" t="s">
        <v>158</v>
      </c>
      <c r="U10" s="28" t="s">
        <v>147</v>
      </c>
      <c r="V10" s="28" t="s">
        <v>156</v>
      </c>
      <c r="W10" s="28" t="s">
        <v>157</v>
      </c>
      <c r="X10" s="28" t="s">
        <v>158</v>
      </c>
      <c r="Y10" s="28" t="s">
        <v>147</v>
      </c>
      <c r="Z10" s="28" t="s">
        <v>156</v>
      </c>
      <c r="AA10" s="28" t="s">
        <v>157</v>
      </c>
      <c r="AC10" s="28" t="s">
        <v>178</v>
      </c>
      <c r="AD10" t="s">
        <v>215</v>
      </c>
    </row>
    <row r="11" spans="1:87" x14ac:dyDescent="0.3">
      <c r="O11" t="s">
        <v>219</v>
      </c>
      <c r="T11" t="s">
        <v>220</v>
      </c>
      <c r="AC11" t="s">
        <v>177</v>
      </c>
      <c r="AD11" t="s">
        <v>176</v>
      </c>
    </row>
    <row r="12" spans="1:87" ht="15" thickBot="1" x14ac:dyDescent="0.35">
      <c r="N12" s="28" t="s">
        <v>178</v>
      </c>
      <c r="O12" t="s">
        <v>215</v>
      </c>
      <c r="T12" t="s">
        <v>220</v>
      </c>
      <c r="AD12" t="s">
        <v>179</v>
      </c>
    </row>
    <row r="13" spans="1:87" x14ac:dyDescent="0.3">
      <c r="A13" s="75"/>
      <c r="B13" s="46" t="s">
        <v>7</v>
      </c>
      <c r="C13" s="46" t="s">
        <v>0</v>
      </c>
      <c r="D13" s="47" t="s">
        <v>43</v>
      </c>
      <c r="O13" t="s">
        <v>259</v>
      </c>
      <c r="P13" t="s">
        <v>260</v>
      </c>
      <c r="Q13" t="s">
        <v>259</v>
      </c>
      <c r="R13" t="s">
        <v>260</v>
      </c>
      <c r="S13" s="28"/>
      <c r="AB13" s="49" t="s">
        <v>74</v>
      </c>
      <c r="BF13" s="49" t="s">
        <v>74</v>
      </c>
    </row>
    <row r="14" spans="1:87" x14ac:dyDescent="0.3">
      <c r="A14" s="190" t="s">
        <v>38</v>
      </c>
      <c r="B14" s="191"/>
      <c r="C14" s="191"/>
      <c r="D14" s="192"/>
      <c r="AB14" s="50" t="s">
        <v>38</v>
      </c>
      <c r="BF14" s="50" t="s">
        <v>38</v>
      </c>
    </row>
    <row r="15" spans="1:87" x14ac:dyDescent="0.3">
      <c r="A15" s="76" t="s">
        <v>252</v>
      </c>
      <c r="B15" s="10" t="str">
        <f>T15</f>
        <v>1.6,  (1.31 , 1.85), 6</v>
      </c>
      <c r="C15" s="10" t="str">
        <f>X15</f>
        <v>3.11,  (1.98 , 3.29), 9</v>
      </c>
      <c r="D15" s="53" t="str">
        <f>H15</f>
        <v>&lt;0.05</v>
      </c>
      <c r="E15" s="1"/>
      <c r="H15" s="27" t="s">
        <v>217</v>
      </c>
      <c r="K15" t="s">
        <v>261</v>
      </c>
      <c r="L15" t="s">
        <v>217</v>
      </c>
      <c r="M15">
        <f>_xlfn.T.TEST(AC15:BB15,BG15:CE15,2,2)</f>
        <v>2.6634270401251988E-2</v>
      </c>
      <c r="N15" t="s">
        <v>171</v>
      </c>
      <c r="O15" s="39">
        <v>6</v>
      </c>
      <c r="P15" s="39">
        <v>10</v>
      </c>
      <c r="Q15" s="39">
        <v>9</v>
      </c>
      <c r="R15" s="39">
        <v>9</v>
      </c>
      <c r="S15" s="68"/>
      <c r="T15" t="str">
        <f>CONCATENATE(TRUNC(U15,2), ",  (", TRUNC(V15,2), " , ", TRUNC(W15,2), "), ", O15)</f>
        <v>1.6,  (1.31 , 1.85), 6</v>
      </c>
      <c r="U15">
        <f>MEDIAN(AC15:BB15)</f>
        <v>1.607661181126725</v>
      </c>
      <c r="V15">
        <f>_xlfn.PERCENTILE.INC(AC15:BB15, 0.25)</f>
        <v>1.3183050366020126</v>
      </c>
      <c r="W15">
        <f>_xlfn.PERCENTILE.INC(AC15:BB15, 0.75)</f>
        <v>1.8589755904960925</v>
      </c>
      <c r="X15" t="str">
        <f>CONCATENATE(TRUNC(Y15,2), ",  (", TRUNC(Z15,2), " , ", TRUNC(AA15,2), "), ", Q15)</f>
        <v>3.11,  (1.98 , 3.29), 9</v>
      </c>
      <c r="Y15">
        <f>MEDIAN(BG15:CE15)</f>
        <v>3.1119846373829398</v>
      </c>
      <c r="Z15">
        <f>_xlfn.PERCENTILE.INC(BG15:CE15, 0.25)</f>
        <v>1.9882420560591374</v>
      </c>
      <c r="AA15">
        <f>_xlfn.PERCENTILE.INC(BG15:CE15, 0.75)</f>
        <v>3.290022687332955</v>
      </c>
      <c r="AB15" s="48" t="s">
        <v>39</v>
      </c>
      <c r="AC15" s="58">
        <v>2.8195488086367302</v>
      </c>
      <c r="AD15" s="59" t="s">
        <v>162</v>
      </c>
      <c r="AE15" s="58">
        <v>1.0353460761712401</v>
      </c>
      <c r="AF15" s="60">
        <v>1.2682005701616701</v>
      </c>
      <c r="AG15" s="58">
        <v>1.4686184359230401</v>
      </c>
      <c r="AH15" s="59" t="s">
        <v>162</v>
      </c>
      <c r="AI15" s="58" t="s">
        <v>162</v>
      </c>
      <c r="AJ15">
        <v>1.7467039263304101</v>
      </c>
      <c r="AK15" s="61" t="s">
        <v>162</v>
      </c>
      <c r="AL15" s="61" t="s">
        <v>162</v>
      </c>
      <c r="AM15">
        <v>1.8963994785513201</v>
      </c>
      <c r="AN15" s="58" t="s">
        <v>162</v>
      </c>
      <c r="AO15" s="61" t="s">
        <v>162</v>
      </c>
      <c r="AP15" s="58" t="s">
        <v>162</v>
      </c>
      <c r="AQ15" s="27"/>
      <c r="AR15" s="27"/>
      <c r="BF15" s="48" t="s">
        <v>39</v>
      </c>
      <c r="BG15" s="58">
        <v>2.2898171326099801</v>
      </c>
      <c r="BH15" s="58">
        <v>3.3007979309730899</v>
      </c>
      <c r="BI15" s="58">
        <v>1.5905242855573101</v>
      </c>
      <c r="BJ15" s="60" t="s">
        <v>162</v>
      </c>
      <c r="BK15" s="58">
        <v>4.0945895135836201</v>
      </c>
      <c r="BL15" s="58">
        <v>1.4709913135435499</v>
      </c>
      <c r="BM15" s="58">
        <v>3.2054336749115202</v>
      </c>
      <c r="BN15" s="58">
        <v>3.0185355998543599</v>
      </c>
      <c r="BO15" s="58">
        <v>3.2576969564125502</v>
      </c>
      <c r="BP15" s="58">
        <v>4.4483988255018403</v>
      </c>
      <c r="BQ15" s="58">
        <v>1.88771703054219</v>
      </c>
    </row>
    <row r="16" spans="1:87" x14ac:dyDescent="0.3">
      <c r="A16" s="76"/>
      <c r="B16" s="10"/>
      <c r="C16" s="10"/>
      <c r="D16" s="53"/>
      <c r="E16" s="1"/>
      <c r="H16" s="27"/>
      <c r="O16" s="39"/>
      <c r="P16" s="39"/>
      <c r="Q16" s="39"/>
      <c r="R16" s="39"/>
      <c r="S16" s="68"/>
      <c r="AB16" s="48"/>
      <c r="AC16" s="58"/>
      <c r="AD16" s="59"/>
      <c r="AE16" s="58"/>
      <c r="AF16" s="60"/>
      <c r="AG16" s="58"/>
      <c r="AH16" s="59"/>
      <c r="AI16" s="58"/>
      <c r="AK16" s="61"/>
      <c r="AL16" s="61"/>
      <c r="AN16" s="58"/>
      <c r="AO16" s="61"/>
      <c r="AP16" s="58"/>
      <c r="AQ16" s="27"/>
      <c r="AR16" s="27"/>
      <c r="BF16" s="48"/>
      <c r="BG16" s="58"/>
      <c r="BH16" s="58"/>
      <c r="BI16" s="58"/>
      <c r="BJ16" s="60"/>
      <c r="BK16" s="58"/>
      <c r="BL16" s="58"/>
      <c r="BM16" s="58"/>
      <c r="BN16" s="58"/>
      <c r="BO16" s="58"/>
      <c r="BP16" s="58"/>
      <c r="BQ16" s="58"/>
    </row>
    <row r="17" spans="1:69" x14ac:dyDescent="0.3">
      <c r="A17" s="76"/>
      <c r="B17" s="10"/>
      <c r="C17" s="10"/>
      <c r="D17" s="53"/>
      <c r="E17" s="1"/>
      <c r="G17" s="10"/>
      <c r="L17" t="s">
        <v>173</v>
      </c>
      <c r="M17">
        <f>_xlfn.T.TEST(AC17:BB17,BG17:CE17,2,2)</f>
        <v>0.88174070895171153</v>
      </c>
      <c r="N17" t="s">
        <v>171</v>
      </c>
      <c r="O17" s="39">
        <v>4</v>
      </c>
      <c r="P17" s="39">
        <v>10</v>
      </c>
      <c r="Q17" s="39">
        <v>9</v>
      </c>
      <c r="R17" s="39">
        <v>9</v>
      </c>
      <c r="S17" s="68"/>
      <c r="T17" t="str">
        <f t="shared" ref="T17:T22" si="0">CONCATENATE(TRUNC(U17,2), ",  (", TRUNC(V17,2), " , ", TRUNC(W17,2), "), ", O17)</f>
        <v>1.8,  (1.66 , 1.86), 4</v>
      </c>
      <c r="U17">
        <f>MEDIAN(AC17:BB17)</f>
        <v>1.8082043668973848</v>
      </c>
      <c r="V17">
        <f>_xlfn.PERCENTILE.INC(AC17:BB17, 0.25)</f>
        <v>1.6680855322082924</v>
      </c>
      <c r="W17">
        <f>_xlfn.PERCENTILE.INC(AC17:BB17, 0.75)</f>
        <v>1.8683160883630749</v>
      </c>
      <c r="X17" t="str">
        <f t="shared" ref="X17:X22" si="1">CONCATENATE(TRUNC(Y17,2), ",  (", TRUNC(Z17,2), " , ", TRUNC(AA17,2), "), ", Q17)</f>
        <v>1.76,  (1.28 , 2.18), 9</v>
      </c>
      <c r="Y17">
        <f>MEDIAN(BG17:CE17)</f>
        <v>1.76030318711992</v>
      </c>
      <c r="Z17">
        <f>_xlfn.PERCENTILE.INC(BG17:CE17, 0.25)</f>
        <v>1.2868346518979323</v>
      </c>
      <c r="AA17">
        <f>_xlfn.PERCENTILE.INC(BG17:CE17, 0.75)</f>
        <v>2.1884314345073728</v>
      </c>
      <c r="AB17" s="48" t="s">
        <v>40</v>
      </c>
      <c r="AC17" s="58">
        <v>1.92065960521003</v>
      </c>
      <c r="AD17" s="59" t="s">
        <v>162</v>
      </c>
      <c r="AE17" s="58">
        <v>1.85086824941409</v>
      </c>
      <c r="AF17" s="58">
        <v>1.37572067569113</v>
      </c>
      <c r="AG17" s="59" t="s">
        <v>162</v>
      </c>
      <c r="AH17" s="59" t="s">
        <v>162</v>
      </c>
      <c r="AI17" s="58" t="s">
        <v>162</v>
      </c>
      <c r="AJ17" s="61" t="s">
        <v>162</v>
      </c>
      <c r="AK17" s="61" t="s">
        <v>162</v>
      </c>
      <c r="AL17" s="61" t="s">
        <v>162</v>
      </c>
      <c r="AM17">
        <v>1.7655404843806799</v>
      </c>
      <c r="AN17" s="58" t="s">
        <v>162</v>
      </c>
      <c r="AO17" s="61" t="s">
        <v>162</v>
      </c>
      <c r="AP17" s="58" t="s">
        <v>162</v>
      </c>
      <c r="BF17" s="48" t="s">
        <v>40</v>
      </c>
      <c r="BG17" s="58">
        <v>1.11700846174386</v>
      </c>
      <c r="BH17" s="58">
        <v>1.6979104140009</v>
      </c>
      <c r="BI17" s="58">
        <v>1.27268754</v>
      </c>
      <c r="BJ17" s="62" t="s">
        <v>162</v>
      </c>
      <c r="BK17" s="58">
        <v>2.2407940760098302</v>
      </c>
      <c r="BL17" s="58">
        <v>2.0313435100000001</v>
      </c>
      <c r="BM17" s="58">
        <v>2.7796820045573698</v>
      </c>
      <c r="BN17" s="58">
        <v>1.8226959602389401</v>
      </c>
      <c r="BO17" s="58">
        <v>0.78493182229421399</v>
      </c>
      <c r="BP17" s="58">
        <v>2.7424048162087602</v>
      </c>
      <c r="BQ17" s="58">
        <v>1.3292759875917299</v>
      </c>
    </row>
    <row r="18" spans="1:69" x14ac:dyDescent="0.3">
      <c r="A18" s="84" t="s">
        <v>251</v>
      </c>
      <c r="C18" s="10"/>
      <c r="D18" s="53" t="s">
        <v>167</v>
      </c>
      <c r="E18" s="1"/>
      <c r="AB18" s="50" t="s">
        <v>41</v>
      </c>
      <c r="BF18" s="50" t="s">
        <v>41</v>
      </c>
    </row>
    <row r="19" spans="1:69" x14ac:dyDescent="0.3">
      <c r="A19" s="48" t="s">
        <v>243</v>
      </c>
      <c r="B19" s="10" t="s">
        <v>262</v>
      </c>
      <c r="C19" s="10" t="s">
        <v>262</v>
      </c>
      <c r="D19" s="53" t="s">
        <v>167</v>
      </c>
      <c r="E19" s="1"/>
      <c r="AB19" s="50"/>
      <c r="BF19" s="50"/>
    </row>
    <row r="20" spans="1:69" x14ac:dyDescent="0.3">
      <c r="A20" s="76" t="s">
        <v>244</v>
      </c>
      <c r="B20" s="10" t="s">
        <v>262</v>
      </c>
      <c r="C20" s="10" t="s">
        <v>262</v>
      </c>
      <c r="D20" s="53" t="s">
        <v>167</v>
      </c>
      <c r="E20" s="1"/>
      <c r="AB20" s="50"/>
      <c r="BF20" s="50"/>
    </row>
    <row r="21" spans="1:69" x14ac:dyDescent="0.3">
      <c r="A21" s="48" t="s">
        <v>81</v>
      </c>
      <c r="B21" s="10" t="s">
        <v>262</v>
      </c>
      <c r="C21" s="10" t="s">
        <v>167</v>
      </c>
      <c r="D21" s="53" t="s">
        <v>167</v>
      </c>
      <c r="E21" s="1"/>
      <c r="L21" t="s">
        <v>173</v>
      </c>
      <c r="M21">
        <f>_xlfn.T.TEST(AC21:BB21,BG21:CE21,2,2)</f>
        <v>0.43714190164887645</v>
      </c>
      <c r="N21" t="s">
        <v>171</v>
      </c>
      <c r="O21" s="39">
        <v>6</v>
      </c>
      <c r="P21" s="39">
        <v>7</v>
      </c>
      <c r="Q21" s="39">
        <v>3</v>
      </c>
      <c r="R21" s="39">
        <v>3</v>
      </c>
      <c r="S21" s="68"/>
      <c r="T21" t="str">
        <f t="shared" si="0"/>
        <v>1.81,  (1.49 , 3.89), 6</v>
      </c>
      <c r="U21">
        <f>MEDIAN(AC21:BB21)</f>
        <v>1.81213566339176</v>
      </c>
      <c r="V21">
        <f>_xlfn.PERCENTILE.INC(AC21:BB21, 0.25)</f>
        <v>1.4972449398191223</v>
      </c>
      <c r="W21">
        <f>_xlfn.PERCENTILE.INC(AC21:BB21, 0.75)</f>
        <v>3.8917854788803403</v>
      </c>
      <c r="X21" t="str">
        <f t="shared" si="1"/>
        <v>2.05,  (1.47 , 2.28), 3</v>
      </c>
      <c r="Y21">
        <f>MEDIAN(BG21:CE21)</f>
        <v>2.05084081707346</v>
      </c>
      <c r="Z21">
        <f>_xlfn.PERCENTILE.INC(BG21:CE21, 0.25)</f>
        <v>1.4720019555091706</v>
      </c>
      <c r="AA21">
        <f>_xlfn.PERCENTILE.INC(BG21:CE21, 0.75)</f>
        <v>2.2824425779627102</v>
      </c>
      <c r="AB21" s="48" t="s">
        <v>39</v>
      </c>
      <c r="AC21" t="s">
        <v>162</v>
      </c>
      <c r="AD21" t="s">
        <v>162</v>
      </c>
      <c r="AE21" t="s">
        <v>162</v>
      </c>
      <c r="AF21" t="s">
        <v>162</v>
      </c>
      <c r="AG21" s="58">
        <v>9.2743941970288297</v>
      </c>
      <c r="AH21" s="58">
        <v>1.4161592237265099</v>
      </c>
      <c r="AI21" s="58" t="s">
        <v>162</v>
      </c>
      <c r="AJ21" s="58">
        <v>1.7405020880969599</v>
      </c>
      <c r="AK21" s="58">
        <v>4.5611242256116</v>
      </c>
      <c r="AL21" s="58" t="s">
        <v>162</v>
      </c>
      <c r="AM21" s="58">
        <v>1.40354475865929</v>
      </c>
      <c r="AN21" s="58" t="s">
        <v>162</v>
      </c>
      <c r="AO21" s="58">
        <v>1.8837692386865601</v>
      </c>
      <c r="AP21" s="58" t="s">
        <v>162</v>
      </c>
      <c r="BF21" s="48" t="s">
        <v>39</v>
      </c>
      <c r="BG21" t="s">
        <v>162</v>
      </c>
      <c r="BH21" t="s">
        <v>162</v>
      </c>
      <c r="BI21" t="s">
        <v>162</v>
      </c>
      <c r="BJ21" t="s">
        <v>162</v>
      </c>
      <c r="BK21" t="s">
        <v>162</v>
      </c>
      <c r="BL21" t="s">
        <v>162</v>
      </c>
      <c r="BM21" t="s">
        <v>162</v>
      </c>
      <c r="BN21" t="s">
        <v>162</v>
      </c>
      <c r="BO21" s="58">
        <v>0.89316309394488103</v>
      </c>
      <c r="BP21" s="58">
        <v>2.05084081707346</v>
      </c>
      <c r="BQ21" s="58">
        <v>2.51404433885196</v>
      </c>
    </row>
    <row r="22" spans="1:69" x14ac:dyDescent="0.3">
      <c r="A22" s="48" t="s">
        <v>80</v>
      </c>
      <c r="B22" s="10" t="s">
        <v>262</v>
      </c>
      <c r="C22" s="10" t="s">
        <v>167</v>
      </c>
      <c r="D22" s="53" t="s">
        <v>167</v>
      </c>
      <c r="L22" t="s">
        <v>173</v>
      </c>
      <c r="M22">
        <f>_xlfn.T.TEST(AC22:BB22,BG22:CE22,2,2)</f>
        <v>0.31240336695199494</v>
      </c>
      <c r="N22" t="s">
        <v>171</v>
      </c>
      <c r="O22" s="39">
        <v>3</v>
      </c>
      <c r="P22" s="39">
        <v>7</v>
      </c>
      <c r="Q22" s="39">
        <v>3</v>
      </c>
      <c r="R22" s="39">
        <v>3</v>
      </c>
      <c r="S22" s="68"/>
      <c r="T22" t="str">
        <f t="shared" si="0"/>
        <v>1.87,  (1.46 , 3.36), 3</v>
      </c>
      <c r="U22">
        <f>MEDIAN(AC22:BB22)</f>
        <v>1.8748035499796001</v>
      </c>
      <c r="V22">
        <f>_xlfn.PERCENTILE.INC(AC22:BB22, 0.25)</f>
        <v>1.4682627475103351</v>
      </c>
      <c r="W22">
        <f>_xlfn.PERCENTILE.INC(AC22:BB22, 0.75)</f>
        <v>3.3689035135184149</v>
      </c>
      <c r="X22" t="str">
        <f t="shared" si="1"/>
        <v>1.38,  (0.95 , 1.54), 3</v>
      </c>
      <c r="Y22">
        <f>MEDIAN(BG22:CE22)</f>
        <v>1.3880612417202001</v>
      </c>
      <c r="Z22">
        <f>_xlfn.PERCENTILE.INC(BG22:CE22, 0.25)</f>
        <v>0.95671034210980754</v>
      </c>
      <c r="AA22">
        <f>_xlfn.PERCENTILE.INC(BG22:CE22, 0.75)</f>
        <v>1.5444071577252849</v>
      </c>
      <c r="AB22" s="48" t="s">
        <v>40</v>
      </c>
      <c r="AC22" t="s">
        <v>162</v>
      </c>
      <c r="AD22" t="s">
        <v>162</v>
      </c>
      <c r="AE22" t="s">
        <v>162</v>
      </c>
      <c r="AF22" t="s">
        <v>162</v>
      </c>
      <c r="AG22" s="58">
        <v>4.8630034770572301</v>
      </c>
      <c r="AH22" s="59" t="s">
        <v>162</v>
      </c>
      <c r="AI22" s="58" t="s">
        <v>162</v>
      </c>
      <c r="AJ22" s="61" t="s">
        <v>162</v>
      </c>
      <c r="AK22" s="62">
        <v>1.06172194504107</v>
      </c>
      <c r="AL22" s="58" t="s">
        <v>162</v>
      </c>
      <c r="AM22" s="58">
        <v>1.8748035499796001</v>
      </c>
      <c r="AN22" s="58" t="s">
        <v>162</v>
      </c>
      <c r="AO22" s="61" t="s">
        <v>162</v>
      </c>
      <c r="AP22" s="58" t="s">
        <v>162</v>
      </c>
      <c r="BF22" s="48" t="s">
        <v>40</v>
      </c>
      <c r="BG22" t="s">
        <v>162</v>
      </c>
      <c r="BH22" t="s">
        <v>162</v>
      </c>
      <c r="BI22" t="s">
        <v>162</v>
      </c>
      <c r="BJ22" t="s">
        <v>162</v>
      </c>
      <c r="BK22" t="s">
        <v>162</v>
      </c>
      <c r="BL22" t="s">
        <v>162</v>
      </c>
      <c r="BM22" t="s">
        <v>162</v>
      </c>
      <c r="BN22" t="s">
        <v>162</v>
      </c>
      <c r="BO22" s="58">
        <v>0.52535944249941502</v>
      </c>
      <c r="BP22" s="58">
        <v>1.3880612417202001</v>
      </c>
      <c r="BQ22" s="58">
        <v>1.70075307373037</v>
      </c>
    </row>
    <row r="23" spans="1:69" x14ac:dyDescent="0.3">
      <c r="A23" s="80" t="s">
        <v>263</v>
      </c>
      <c r="B23" s="10" t="s">
        <v>265</v>
      </c>
      <c r="C23" s="10" t="s">
        <v>265</v>
      </c>
      <c r="D23" s="79" t="s">
        <v>173</v>
      </c>
    </row>
    <row r="24" spans="1:69" x14ac:dyDescent="0.3">
      <c r="A24" s="80" t="s">
        <v>264</v>
      </c>
      <c r="B24" s="10" t="s">
        <v>265</v>
      </c>
      <c r="C24" s="10" t="s">
        <v>265</v>
      </c>
      <c r="D24" s="79" t="s">
        <v>173</v>
      </c>
    </row>
    <row r="25" spans="1:69" x14ac:dyDescent="0.3">
      <c r="A25" s="190" t="s">
        <v>41</v>
      </c>
      <c r="B25" s="191"/>
      <c r="C25" s="191"/>
      <c r="D25" s="192"/>
    </row>
    <row r="26" spans="1:69" x14ac:dyDescent="0.3">
      <c r="A26" s="76" t="s">
        <v>250</v>
      </c>
      <c r="B26" s="10" t="str">
        <f>T21</f>
        <v>1.81,  (1.49 , 3.89), 6</v>
      </c>
      <c r="C26" s="10" t="str">
        <f>X21</f>
        <v>2.05,  (1.47 , 2.28), 3</v>
      </c>
      <c r="D26" s="53" t="str">
        <f>L21</f>
        <v>N.S.</v>
      </c>
    </row>
    <row r="27" spans="1:69" x14ac:dyDescent="0.3">
      <c r="A27" s="48"/>
      <c r="B27" s="10"/>
      <c r="C27" s="10"/>
      <c r="D27" s="53"/>
    </row>
    <row r="28" spans="1:69" x14ac:dyDescent="0.3">
      <c r="A28" s="84" t="s">
        <v>251</v>
      </c>
      <c r="B28" s="10"/>
      <c r="C28" s="10"/>
      <c r="D28" s="53"/>
    </row>
    <row r="29" spans="1:69" x14ac:dyDescent="0.3">
      <c r="A29" s="48" t="s">
        <v>243</v>
      </c>
      <c r="B29" s="10" t="s">
        <v>262</v>
      </c>
      <c r="C29" s="10" t="s">
        <v>262</v>
      </c>
      <c r="D29" s="53" t="s">
        <v>167</v>
      </c>
    </row>
    <row r="30" spans="1:69" x14ac:dyDescent="0.3">
      <c r="A30" s="76" t="s">
        <v>244</v>
      </c>
      <c r="B30" s="10" t="s">
        <v>262</v>
      </c>
      <c r="C30" s="10" t="s">
        <v>262</v>
      </c>
      <c r="D30" s="53" t="s">
        <v>167</v>
      </c>
    </row>
    <row r="31" spans="1:69" x14ac:dyDescent="0.3">
      <c r="A31" s="48" t="s">
        <v>81</v>
      </c>
      <c r="B31" s="10" t="s">
        <v>262</v>
      </c>
      <c r="C31" s="10" t="s">
        <v>167</v>
      </c>
      <c r="D31" s="53" t="s">
        <v>167</v>
      </c>
    </row>
    <row r="32" spans="1:69" x14ac:dyDescent="0.3">
      <c r="A32" s="48" t="s">
        <v>80</v>
      </c>
      <c r="B32" s="10" t="s">
        <v>262</v>
      </c>
      <c r="C32" s="10" t="s">
        <v>167</v>
      </c>
      <c r="D32" s="81"/>
    </row>
    <row r="33" spans="1:13" x14ac:dyDescent="0.3">
      <c r="A33" s="80" t="s">
        <v>263</v>
      </c>
      <c r="B33" s="10" t="s">
        <v>265</v>
      </c>
      <c r="C33" s="10" t="s">
        <v>265</v>
      </c>
      <c r="D33" s="79" t="s">
        <v>173</v>
      </c>
    </row>
    <row r="34" spans="1:13" ht="15" thickBot="1" x14ac:dyDescent="0.35">
      <c r="A34" s="82" t="s">
        <v>264</v>
      </c>
      <c r="B34" s="55" t="s">
        <v>265</v>
      </c>
      <c r="C34" s="55" t="s">
        <v>265</v>
      </c>
      <c r="D34" s="83" t="s">
        <v>173</v>
      </c>
    </row>
    <row r="36" spans="1:13" x14ac:dyDescent="0.3">
      <c r="B36" t="s">
        <v>248</v>
      </c>
    </row>
    <row r="40" spans="1:13" x14ac:dyDescent="0.3">
      <c r="H40" s="39"/>
      <c r="I40" s="39"/>
      <c r="J40" s="39"/>
      <c r="K40" s="39"/>
      <c r="L40" s="39"/>
      <c r="M40" s="39"/>
    </row>
    <row r="41" spans="1:13" x14ac:dyDescent="0.3">
      <c r="H41" s="39"/>
      <c r="I41" s="39"/>
      <c r="J41" s="39"/>
      <c r="K41" s="39"/>
      <c r="L41" s="39"/>
      <c r="M41" s="39"/>
    </row>
    <row r="42" spans="1:13" ht="15" thickBot="1" x14ac:dyDescent="0.35">
      <c r="H42" s="39"/>
      <c r="I42" s="39"/>
      <c r="J42" s="39"/>
      <c r="K42" s="39"/>
      <c r="L42" s="39"/>
      <c r="M42" s="39"/>
    </row>
    <row r="43" spans="1:13" x14ac:dyDescent="0.3">
      <c r="A43" s="45" t="s">
        <v>37</v>
      </c>
      <c r="B43" s="46" t="s">
        <v>7</v>
      </c>
      <c r="C43" s="46" t="s">
        <v>0</v>
      </c>
      <c r="D43" s="47" t="s">
        <v>43</v>
      </c>
      <c r="H43" s="39"/>
      <c r="I43" s="39"/>
      <c r="J43" s="39"/>
      <c r="K43" s="39"/>
      <c r="L43" s="39"/>
      <c r="M43" s="39"/>
    </row>
    <row r="44" spans="1:13" x14ac:dyDescent="0.3">
      <c r="A44" s="48"/>
      <c r="B44" s="10"/>
      <c r="C44" s="10"/>
      <c r="D44" s="53"/>
      <c r="H44" s="39"/>
      <c r="I44" s="39"/>
      <c r="J44" s="39"/>
      <c r="K44" s="39"/>
      <c r="L44" s="39"/>
      <c r="M44" s="39"/>
    </row>
    <row r="45" spans="1:13" x14ac:dyDescent="0.3">
      <c r="A45" s="49" t="s">
        <v>74</v>
      </c>
      <c r="B45" s="25"/>
      <c r="C45" s="25"/>
      <c r="D45" s="67"/>
      <c r="H45" s="39"/>
      <c r="I45" s="39"/>
      <c r="J45" s="39"/>
      <c r="K45" s="39"/>
      <c r="L45" s="39"/>
      <c r="M45" s="39"/>
    </row>
    <row r="46" spans="1:13" x14ac:dyDescent="0.3">
      <c r="A46" s="50" t="s">
        <v>38</v>
      </c>
      <c r="B46" s="10"/>
      <c r="C46" s="10"/>
      <c r="D46" s="53"/>
      <c r="H46" s="39"/>
      <c r="I46" s="39"/>
      <c r="J46" s="39"/>
      <c r="K46" s="39"/>
      <c r="L46" s="39"/>
      <c r="M46" s="39"/>
    </row>
    <row r="47" spans="1:13" x14ac:dyDescent="0.3">
      <c r="A47" s="48" t="s">
        <v>39</v>
      </c>
      <c r="H47" s="39"/>
      <c r="I47" s="39"/>
      <c r="J47" s="39"/>
      <c r="K47" s="39"/>
      <c r="L47" s="39"/>
      <c r="M47" s="39"/>
    </row>
    <row r="48" spans="1:13" x14ac:dyDescent="0.3">
      <c r="A48" s="48" t="s">
        <v>40</v>
      </c>
      <c r="B48" s="10" t="str">
        <f>T17</f>
        <v>1.8,  (1.66 , 1.86), 4</v>
      </c>
      <c r="C48" s="10" t="str">
        <f>X17</f>
        <v>1.76,  (1.28 , 2.18), 9</v>
      </c>
      <c r="D48" s="53" t="str">
        <f>L17</f>
        <v>N.S.</v>
      </c>
      <c r="H48" s="39"/>
      <c r="I48" s="39"/>
      <c r="J48" s="39"/>
      <c r="K48" s="39"/>
      <c r="L48" s="39"/>
      <c r="M48" s="39"/>
    </row>
    <row r="49" spans="1:74" x14ac:dyDescent="0.3">
      <c r="A49" s="50" t="s">
        <v>41</v>
      </c>
      <c r="B49" s="10"/>
      <c r="C49" s="10"/>
      <c r="D49" s="53"/>
      <c r="H49" s="39"/>
      <c r="I49" s="39"/>
      <c r="J49" s="39"/>
      <c r="K49" s="39"/>
      <c r="L49" s="39"/>
      <c r="M49" s="39"/>
    </row>
    <row r="50" spans="1:74" x14ac:dyDescent="0.3">
      <c r="A50" s="48" t="s">
        <v>39</v>
      </c>
      <c r="AB50" s="1" t="s">
        <v>187</v>
      </c>
      <c r="AC50" t="s">
        <v>188</v>
      </c>
      <c r="AD50" t="s">
        <v>189</v>
      </c>
      <c r="AE50" t="s">
        <v>190</v>
      </c>
      <c r="AF50" t="s">
        <v>191</v>
      </c>
      <c r="AG50" t="s">
        <v>192</v>
      </c>
      <c r="AH50" t="s">
        <v>193</v>
      </c>
      <c r="AI50" t="s">
        <v>194</v>
      </c>
      <c r="AJ50" t="s">
        <v>194</v>
      </c>
      <c r="AK50" t="s">
        <v>195</v>
      </c>
      <c r="AL50" t="s">
        <v>196</v>
      </c>
      <c r="AM50" t="s">
        <v>197</v>
      </c>
      <c r="AN50" t="s">
        <v>198</v>
      </c>
      <c r="AO50" t="s">
        <v>199</v>
      </c>
      <c r="AP50" t="s">
        <v>200</v>
      </c>
      <c r="BF50" s="1" t="s">
        <v>187</v>
      </c>
      <c r="BG50" t="s">
        <v>202</v>
      </c>
      <c r="BH50" t="s">
        <v>198</v>
      </c>
      <c r="BI50" t="s">
        <v>203</v>
      </c>
      <c r="BJ50" t="s">
        <v>204</v>
      </c>
      <c r="BK50" t="s">
        <v>205</v>
      </c>
      <c r="BL50" t="s">
        <v>206</v>
      </c>
      <c r="BM50" t="s">
        <v>207</v>
      </c>
      <c r="BN50" t="s">
        <v>208</v>
      </c>
      <c r="BO50" t="s">
        <v>209</v>
      </c>
      <c r="BP50" t="s">
        <v>210</v>
      </c>
      <c r="BQ50" t="s">
        <v>203</v>
      </c>
      <c r="BR50" t="s">
        <v>211</v>
      </c>
      <c r="BS50" t="s">
        <v>212</v>
      </c>
      <c r="BT50" t="s">
        <v>213</v>
      </c>
      <c r="BU50" t="s">
        <v>211</v>
      </c>
      <c r="BV50" t="s">
        <v>193</v>
      </c>
    </row>
    <row r="51" spans="1:74" x14ac:dyDescent="0.3">
      <c r="A51" s="48" t="s">
        <v>40</v>
      </c>
      <c r="B51" s="10" t="str">
        <f>T22</f>
        <v>1.87,  (1.46 , 3.36), 3</v>
      </c>
      <c r="C51" s="10" t="str">
        <f>X22</f>
        <v>1.38,  (0.95 , 1.54), 3</v>
      </c>
      <c r="D51" s="53" t="str">
        <f>L22</f>
        <v>N.S.</v>
      </c>
      <c r="AB51" s="1" t="s">
        <v>201</v>
      </c>
      <c r="AC51">
        <v>12</v>
      </c>
      <c r="AD51">
        <v>9</v>
      </c>
      <c r="AE51">
        <v>10</v>
      </c>
      <c r="AF51">
        <v>10</v>
      </c>
      <c r="AG51">
        <v>14</v>
      </c>
      <c r="AH51">
        <v>15</v>
      </c>
      <c r="AI51">
        <v>18</v>
      </c>
      <c r="AJ51">
        <v>18</v>
      </c>
      <c r="AK51">
        <v>18</v>
      </c>
      <c r="AL51">
        <v>14</v>
      </c>
      <c r="AM51">
        <v>10</v>
      </c>
      <c r="AN51">
        <v>7</v>
      </c>
      <c r="AO51">
        <v>14</v>
      </c>
      <c r="AP51">
        <v>13</v>
      </c>
      <c r="BF51" s="1" t="s">
        <v>201</v>
      </c>
      <c r="BG51">
        <v>10</v>
      </c>
      <c r="BH51">
        <v>7</v>
      </c>
      <c r="BI51">
        <v>7</v>
      </c>
      <c r="BJ51">
        <v>7</v>
      </c>
      <c r="BK51">
        <v>11</v>
      </c>
      <c r="BL51">
        <v>9</v>
      </c>
      <c r="BM51">
        <v>9</v>
      </c>
      <c r="BN51">
        <v>6</v>
      </c>
      <c r="BO51">
        <v>13</v>
      </c>
      <c r="BP51">
        <v>8</v>
      </c>
      <c r="BQ51">
        <v>7</v>
      </c>
      <c r="BR51">
        <v>11</v>
      </c>
      <c r="BS51">
        <v>14</v>
      </c>
      <c r="BT51">
        <v>15</v>
      </c>
      <c r="BU51">
        <v>11</v>
      </c>
      <c r="BV51">
        <v>15</v>
      </c>
    </row>
    <row r="52" spans="1:74" ht="15" thickBot="1" x14ac:dyDescent="0.35">
      <c r="A52" s="51"/>
      <c r="B52" s="55"/>
      <c r="C52" s="55"/>
      <c r="D52" s="56"/>
      <c r="AB52" s="1" t="s">
        <v>72</v>
      </c>
      <c r="AC52">
        <v>150</v>
      </c>
      <c r="AD52">
        <v>117</v>
      </c>
      <c r="AE52">
        <v>126</v>
      </c>
      <c r="AF52">
        <v>131</v>
      </c>
      <c r="AG52">
        <v>178</v>
      </c>
      <c r="AH52">
        <v>118</v>
      </c>
      <c r="AI52">
        <v>224</v>
      </c>
      <c r="AJ52">
        <v>224</v>
      </c>
      <c r="AK52">
        <v>216</v>
      </c>
      <c r="AL52">
        <v>173</v>
      </c>
      <c r="AM52">
        <v>130</v>
      </c>
      <c r="AN52">
        <v>85</v>
      </c>
      <c r="AO52">
        <v>177</v>
      </c>
      <c r="AP52">
        <v>157</v>
      </c>
      <c r="BF52" s="1" t="s">
        <v>72</v>
      </c>
      <c r="BG52">
        <v>127</v>
      </c>
      <c r="BH52">
        <v>85</v>
      </c>
      <c r="BI52">
        <v>88</v>
      </c>
      <c r="BJ52">
        <v>93</v>
      </c>
      <c r="BK52">
        <v>134</v>
      </c>
      <c r="BL52">
        <v>111</v>
      </c>
      <c r="BM52" s="27">
        <v>114</v>
      </c>
      <c r="BN52" s="1">
        <v>81</v>
      </c>
      <c r="BO52">
        <v>161</v>
      </c>
      <c r="BP52">
        <v>104</v>
      </c>
      <c r="BQ52">
        <v>88</v>
      </c>
      <c r="BR52">
        <v>142</v>
      </c>
      <c r="BS52">
        <v>177</v>
      </c>
      <c r="BT52">
        <v>180</v>
      </c>
      <c r="BU52">
        <v>142</v>
      </c>
      <c r="BV52">
        <v>188</v>
      </c>
    </row>
    <row r="53" spans="1:74" ht="45.6" x14ac:dyDescent="0.5">
      <c r="A53" s="57" t="s">
        <v>175</v>
      </c>
      <c r="N53" s="1" t="s">
        <v>183</v>
      </c>
      <c r="O53" s="1" t="s">
        <v>184</v>
      </c>
      <c r="P53" s="1"/>
      <c r="Q53" s="1"/>
      <c r="R53" s="1"/>
      <c r="S53" s="1"/>
      <c r="AB53" s="1" t="s">
        <v>180</v>
      </c>
      <c r="AC53" s="1" t="s">
        <v>67</v>
      </c>
      <c r="AD53" s="1" t="s">
        <v>73</v>
      </c>
      <c r="AE53" s="1" t="s">
        <v>68</v>
      </c>
      <c r="AF53" s="1" t="s">
        <v>63</v>
      </c>
      <c r="AG53" s="1" t="s">
        <v>71</v>
      </c>
      <c r="AH53" s="1" t="s">
        <v>181</v>
      </c>
      <c r="AI53" s="1" t="s">
        <v>73</v>
      </c>
      <c r="AJ53" s="64" t="s">
        <v>182</v>
      </c>
      <c r="AK53" s="1" t="s">
        <v>181</v>
      </c>
      <c r="AL53" s="1" t="s">
        <v>181</v>
      </c>
      <c r="AM53" s="1" t="s">
        <v>69</v>
      </c>
      <c r="AN53" s="1" t="s">
        <v>73</v>
      </c>
      <c r="AO53" s="1" t="s">
        <v>181</v>
      </c>
      <c r="AP53" s="1" t="s">
        <v>73</v>
      </c>
      <c r="AQ53" s="1" t="s">
        <v>73</v>
      </c>
      <c r="AT53" s="1"/>
      <c r="BF53" s="1" t="s">
        <v>180</v>
      </c>
      <c r="BG53" s="1" t="s">
        <v>54</v>
      </c>
      <c r="BH53" s="65" t="s">
        <v>214</v>
      </c>
      <c r="BI53" s="65" t="s">
        <v>214</v>
      </c>
      <c r="BJ53" s="65" t="s">
        <v>214</v>
      </c>
      <c r="BK53" s="1" t="s">
        <v>51</v>
      </c>
      <c r="BL53" s="1" t="s">
        <v>53</v>
      </c>
      <c r="BM53" s="1" t="s">
        <v>61</v>
      </c>
      <c r="BN53" s="65" t="s">
        <v>214</v>
      </c>
      <c r="BO53" s="1" t="s">
        <v>55</v>
      </c>
      <c r="BP53" s="65" t="s">
        <v>214</v>
      </c>
      <c r="BQ53" s="65" t="s">
        <v>214</v>
      </c>
      <c r="BR53" s="1"/>
      <c r="BS53" s="1"/>
      <c r="BT53" s="1"/>
      <c r="BU53" s="1"/>
      <c r="BV53" s="1"/>
    </row>
    <row r="54" spans="1:74" x14ac:dyDescent="0.3">
      <c r="A54" t="s">
        <v>42</v>
      </c>
      <c r="B54" s="7">
        <v>44959</v>
      </c>
      <c r="N54">
        <f>MEDIAN(AC54:AQ54)</f>
        <v>16</v>
      </c>
      <c r="O54">
        <f>AVERAGE(AC54:AQ54)</f>
        <v>13.6</v>
      </c>
      <c r="AB54" s="1" t="s">
        <v>185</v>
      </c>
      <c r="AC54">
        <f>AC52-BK52</f>
        <v>16</v>
      </c>
      <c r="AD54" t="s">
        <v>73</v>
      </c>
      <c r="AE54">
        <f>AE52-BL52</f>
        <v>15</v>
      </c>
      <c r="AF54">
        <f>AF52-BG52</f>
        <v>4</v>
      </c>
      <c r="AG54">
        <f>AG52-BO52</f>
        <v>17</v>
      </c>
      <c r="AH54" t="s">
        <v>73</v>
      </c>
      <c r="AI54" t="s">
        <v>73</v>
      </c>
      <c r="AK54" t="s">
        <v>73</v>
      </c>
      <c r="AL54" t="s">
        <v>73</v>
      </c>
      <c r="AM54">
        <f>AM52-BM52</f>
        <v>16</v>
      </c>
      <c r="AN54" t="s">
        <v>73</v>
      </c>
      <c r="AO54" t="s">
        <v>73</v>
      </c>
      <c r="AP54" t="s">
        <v>73</v>
      </c>
      <c r="AQ54" t="s">
        <v>73</v>
      </c>
      <c r="BF54" s="1" t="s">
        <v>185</v>
      </c>
    </row>
    <row r="55" spans="1:74" ht="15" thickBot="1" x14ac:dyDescent="0.35">
      <c r="O55" s="38" t="s">
        <v>218</v>
      </c>
      <c r="P55" s="38"/>
      <c r="Q55" s="38"/>
      <c r="R55" s="38"/>
      <c r="S55" s="38"/>
      <c r="AB55" s="1" t="s">
        <v>186</v>
      </c>
      <c r="AC55" s="7">
        <v>44949</v>
      </c>
      <c r="AD55" t="s">
        <v>73</v>
      </c>
      <c r="AE55" s="7">
        <v>44949</v>
      </c>
      <c r="AF55" s="7">
        <v>44949</v>
      </c>
      <c r="AG55" s="7">
        <v>44949</v>
      </c>
      <c r="AH55" t="s">
        <v>73</v>
      </c>
      <c r="AI55" t="s">
        <v>73</v>
      </c>
      <c r="AK55" t="s">
        <v>73</v>
      </c>
      <c r="AL55" t="s">
        <v>73</v>
      </c>
      <c r="AM55" s="7">
        <v>44949</v>
      </c>
      <c r="AN55" t="s">
        <v>73</v>
      </c>
      <c r="AO55" t="s">
        <v>73</v>
      </c>
      <c r="AP55" t="s">
        <v>73</v>
      </c>
      <c r="AQ55" t="s">
        <v>73</v>
      </c>
      <c r="BF55" s="1" t="s">
        <v>186</v>
      </c>
      <c r="BG55" s="7">
        <v>44949</v>
      </c>
      <c r="BK55" s="7">
        <v>44949</v>
      </c>
      <c r="BL55" s="7">
        <v>44949</v>
      </c>
      <c r="BM55" s="7">
        <v>44949</v>
      </c>
      <c r="BO55" s="7">
        <v>44949</v>
      </c>
    </row>
    <row r="56" spans="1:74" x14ac:dyDescent="0.3">
      <c r="A56" s="45" t="s">
        <v>37</v>
      </c>
      <c r="B56" s="46" t="s">
        <v>7</v>
      </c>
      <c r="C56" s="46" t="s">
        <v>0</v>
      </c>
      <c r="D56" s="47" t="s">
        <v>43</v>
      </c>
      <c r="O56" t="s">
        <v>219</v>
      </c>
    </row>
    <row r="57" spans="1:74" x14ac:dyDescent="0.3">
      <c r="A57" s="48"/>
      <c r="B57" s="10"/>
      <c r="C57" s="10"/>
      <c r="D57" s="53"/>
      <c r="N57" s="28" t="s">
        <v>178</v>
      </c>
      <c r="O57" t="s">
        <v>215</v>
      </c>
    </row>
    <row r="58" spans="1:74" x14ac:dyDescent="0.3">
      <c r="A58" s="49" t="s">
        <v>74</v>
      </c>
      <c r="B58" s="25"/>
      <c r="C58" s="25"/>
      <c r="D58" s="67"/>
      <c r="O58" t="s">
        <v>259</v>
      </c>
      <c r="P58" t="s">
        <v>260</v>
      </c>
      <c r="Q58" t="s">
        <v>259</v>
      </c>
      <c r="R58" t="s">
        <v>260</v>
      </c>
      <c r="S58" s="28"/>
      <c r="AB58" s="49" t="s">
        <v>74</v>
      </c>
      <c r="BF58" s="49" t="s">
        <v>74</v>
      </c>
    </row>
    <row r="59" spans="1:74" x14ac:dyDescent="0.3">
      <c r="A59" s="50" t="s">
        <v>38</v>
      </c>
      <c r="B59" s="10"/>
      <c r="C59" s="10"/>
      <c r="D59" s="53"/>
      <c r="AB59" s="50" t="s">
        <v>38</v>
      </c>
      <c r="BF59" s="50" t="s">
        <v>38</v>
      </c>
    </row>
    <row r="60" spans="1:74" x14ac:dyDescent="0.3">
      <c r="A60" s="48" t="s">
        <v>39</v>
      </c>
      <c r="B60" s="10" t="str">
        <f>T60</f>
        <v>1.46,  (1.26 , 1.89), 5</v>
      </c>
      <c r="C60" s="10" t="str">
        <f>X60</f>
        <v>3.2,  (2.28 , 3.25), 5</v>
      </c>
      <c r="D60" s="53" t="str">
        <f>L60</f>
        <v>p=0.07</v>
      </c>
      <c r="L60" t="s">
        <v>233</v>
      </c>
      <c r="M60">
        <f>_xlfn.T.TEST(AC60:BB60,BG60:CE60,2,2)</f>
        <v>6.6440967371673501E-2</v>
      </c>
      <c r="N60" t="s">
        <v>171</v>
      </c>
      <c r="O60" s="39">
        <v>5</v>
      </c>
      <c r="P60" s="39">
        <v>10</v>
      </c>
      <c r="Q60" s="39">
        <v>5</v>
      </c>
      <c r="R60" s="39">
        <v>9</v>
      </c>
      <c r="S60" s="68"/>
      <c r="T60" t="str">
        <f>CONCATENATE(TRUNC(U60,2), ",  (", TRUNC(V60,2), " , ", TRUNC(W60,2), "), ", O60)</f>
        <v>1.46,  (1.26 , 1.89), 5</v>
      </c>
      <c r="U60">
        <f>MEDIAN(AC60:BB60)</f>
        <v>1.4686184359230401</v>
      </c>
      <c r="V60">
        <f>_xlfn.PERCENTILE.INC(AC60:BB60, 0.25)</f>
        <v>1.2682005701616701</v>
      </c>
      <c r="W60">
        <f>_xlfn.PERCENTILE.INC(AC60:BB60, 0.75)</f>
        <v>1.8963994785513201</v>
      </c>
      <c r="X60" t="str">
        <f>CONCATENATE(TRUNC(Y60,2), ",  (", TRUNC(Z60,2), " , ", TRUNC(AA60,2), "), ", Q60)</f>
        <v>3.2,  (2.28 , 3.25), 5</v>
      </c>
      <c r="Y60">
        <f>MEDIAN(BG60:CE60)</f>
        <v>3.2054336749115202</v>
      </c>
      <c r="Z60">
        <f>_xlfn.PERCENTILE.INC(BG60:CE60, 0.25)</f>
        <v>2.2898171326099801</v>
      </c>
      <c r="AA60">
        <f>_xlfn.PERCENTILE.INC(BG60:CE60, 0.75)</f>
        <v>3.2576969564125502</v>
      </c>
      <c r="AB60" s="48" t="s">
        <v>39</v>
      </c>
      <c r="AC60" s="58">
        <v>2.8195488086367302</v>
      </c>
      <c r="AD60" s="59" t="s">
        <v>162</v>
      </c>
      <c r="AE60" s="58">
        <v>1.0353460761712401</v>
      </c>
      <c r="AF60" s="60">
        <v>1.2682005701616701</v>
      </c>
      <c r="AG60" s="58">
        <v>1.4686184359230401</v>
      </c>
      <c r="AH60" s="59" t="s">
        <v>162</v>
      </c>
      <c r="AI60" s="58" t="s">
        <v>162</v>
      </c>
      <c r="AJ60" s="63" t="s">
        <v>162</v>
      </c>
      <c r="AK60" s="61" t="s">
        <v>162</v>
      </c>
      <c r="AL60" s="61" t="s">
        <v>162</v>
      </c>
      <c r="AM60">
        <v>1.8963994785513201</v>
      </c>
      <c r="AN60" s="58" t="s">
        <v>162</v>
      </c>
      <c r="AO60" s="61" t="s">
        <v>162</v>
      </c>
      <c r="AP60" s="58" t="s">
        <v>162</v>
      </c>
      <c r="BF60" s="48" t="s">
        <v>39</v>
      </c>
      <c r="BG60" s="58">
        <v>2.2898171326099801</v>
      </c>
      <c r="BH60" s="66" t="s">
        <v>162</v>
      </c>
      <c r="BI60" s="66" t="s">
        <v>162</v>
      </c>
      <c r="BJ60" s="66" t="s">
        <v>162</v>
      </c>
      <c r="BK60" s="58">
        <v>4.0945895135836201</v>
      </c>
      <c r="BL60" s="58">
        <v>1.4709913135435499</v>
      </c>
      <c r="BM60" s="58">
        <v>3.2054336749115202</v>
      </c>
      <c r="BN60" s="66" t="s">
        <v>162</v>
      </c>
      <c r="BO60" s="58">
        <v>3.2576969564125502</v>
      </c>
      <c r="BP60" s="66" t="s">
        <v>162</v>
      </c>
      <c r="BQ60" s="66" t="s">
        <v>162</v>
      </c>
    </row>
    <row r="61" spans="1:74" x14ac:dyDescent="0.3">
      <c r="A61" s="48" t="s">
        <v>40</v>
      </c>
      <c r="B61" s="10" t="str">
        <f>T61</f>
        <v>1.8,  (1.66 , 1.86), 4</v>
      </c>
      <c r="C61" s="10" t="str">
        <f>X61</f>
        <v>2.03,  (1.11 , 2.24), 4</v>
      </c>
      <c r="D61" s="53" t="str">
        <f>L61</f>
        <v>N.S.</v>
      </c>
      <c r="L61" t="s">
        <v>173</v>
      </c>
      <c r="M61">
        <f>_xlfn.T.TEST(AC61:BB61,BG61:CE61,2,2)</f>
        <v>0.88854127350774958</v>
      </c>
      <c r="N61" t="s">
        <v>171</v>
      </c>
      <c r="O61" s="39">
        <v>4</v>
      </c>
      <c r="P61" s="39">
        <v>10</v>
      </c>
      <c r="Q61" s="39">
        <v>4</v>
      </c>
      <c r="R61" s="39">
        <v>9</v>
      </c>
      <c r="S61" s="68"/>
      <c r="T61" t="str">
        <f t="shared" ref="T61:T64" si="2">CONCATENATE(TRUNC(U61,2), ",  (", TRUNC(V61,2), " , ", TRUNC(W61,2), "), ", O61)</f>
        <v>1.8,  (1.66 , 1.86), 4</v>
      </c>
      <c r="U61">
        <f>MEDIAN(AC61:BB61)</f>
        <v>1.8082043668973848</v>
      </c>
      <c r="V61">
        <f>_xlfn.PERCENTILE.INC(AC61:BB61, 0.25)</f>
        <v>1.6680855322082924</v>
      </c>
      <c r="W61">
        <f>_xlfn.PERCENTILE.INC(AC61:BB61, 0.75)</f>
        <v>1.8683160883630749</v>
      </c>
      <c r="X61" t="str">
        <f t="shared" ref="X61:X64" si="3">CONCATENATE(TRUNC(Y61,2), ",  (", TRUNC(Z61,2), " , ", TRUNC(AA61,2), "), ", Q61)</f>
        <v>2.03,  (1.11 , 2.24), 4</v>
      </c>
      <c r="Y61">
        <f>MEDIAN(BG61:CE61)</f>
        <v>2.0313435100000001</v>
      </c>
      <c r="Z61">
        <f>_xlfn.PERCENTILE.INC(BG61:CE61, 0.25)</f>
        <v>1.11700846174386</v>
      </c>
      <c r="AA61">
        <f>_xlfn.PERCENTILE.INC(BG61:CE61, 0.75)</f>
        <v>2.2407940760098302</v>
      </c>
      <c r="AB61" s="48" t="s">
        <v>40</v>
      </c>
      <c r="AC61" s="58">
        <v>1.92065960521003</v>
      </c>
      <c r="AD61" s="59" t="s">
        <v>162</v>
      </c>
      <c r="AE61" s="58">
        <v>1.85086824941409</v>
      </c>
      <c r="AF61" s="58">
        <v>1.37572067569113</v>
      </c>
      <c r="AG61" s="59" t="s">
        <v>162</v>
      </c>
      <c r="AH61" s="59" t="s">
        <v>162</v>
      </c>
      <c r="AI61" s="58" t="s">
        <v>162</v>
      </c>
      <c r="AJ61" s="63" t="s">
        <v>162</v>
      </c>
      <c r="AK61" s="61" t="s">
        <v>162</v>
      </c>
      <c r="AL61" s="61" t="s">
        <v>162</v>
      </c>
      <c r="AM61">
        <v>1.7655404843806799</v>
      </c>
      <c r="AN61" s="58" t="s">
        <v>162</v>
      </c>
      <c r="AO61" s="61" t="s">
        <v>162</v>
      </c>
      <c r="AP61" s="58" t="s">
        <v>162</v>
      </c>
      <c r="BF61" s="48" t="s">
        <v>40</v>
      </c>
      <c r="BG61" s="58">
        <v>1.11700846174386</v>
      </c>
      <c r="BH61" s="66" t="s">
        <v>162</v>
      </c>
      <c r="BI61" s="66" t="s">
        <v>162</v>
      </c>
      <c r="BJ61" s="66" t="s">
        <v>162</v>
      </c>
      <c r="BK61" s="58">
        <v>2.2407940760098302</v>
      </c>
      <c r="BL61" s="58">
        <v>2.0313435100000001</v>
      </c>
      <c r="BM61" s="58">
        <v>2.7796820045573698</v>
      </c>
      <c r="BN61" s="66" t="s">
        <v>162</v>
      </c>
      <c r="BO61" s="58">
        <v>0.78493182229421399</v>
      </c>
      <c r="BP61" s="66" t="s">
        <v>162</v>
      </c>
      <c r="BQ61" s="66" t="s">
        <v>162</v>
      </c>
    </row>
    <row r="62" spans="1:74" x14ac:dyDescent="0.3">
      <c r="A62" s="50" t="s">
        <v>41</v>
      </c>
      <c r="B62" s="10"/>
      <c r="C62" s="10"/>
      <c r="D62" s="53"/>
      <c r="AB62" s="50" t="s">
        <v>41</v>
      </c>
      <c r="AJ62" s="63" t="s">
        <v>162</v>
      </c>
      <c r="BF62" s="50" t="s">
        <v>41</v>
      </c>
    </row>
    <row r="63" spans="1:74" x14ac:dyDescent="0.3">
      <c r="A63" s="48" t="s">
        <v>39</v>
      </c>
      <c r="B63" s="10" t="str">
        <f t="shared" ref="B63:B64" si="4">T63</f>
        <v>9.27,  (9.27 , 9.27), 1</v>
      </c>
      <c r="C63" s="10" t="str">
        <f t="shared" ref="C63:C64" si="5">X63</f>
        <v>0.89,  (0.89 , 0.89), 1</v>
      </c>
      <c r="D63" s="53" t="str">
        <f t="shared" ref="D63:D64" si="6">L63</f>
        <v>Pending</v>
      </c>
      <c r="L63" t="s">
        <v>172</v>
      </c>
      <c r="M63" t="e">
        <f>_xlfn.T.TEST(AC63:BB63,BG63:CE63,2,2)</f>
        <v>#DIV/0!</v>
      </c>
      <c r="N63" t="s">
        <v>171</v>
      </c>
      <c r="O63" s="39">
        <v>1</v>
      </c>
      <c r="P63" s="39">
        <v>7</v>
      </c>
      <c r="Q63" s="39">
        <v>1</v>
      </c>
      <c r="R63" s="39">
        <v>3</v>
      </c>
      <c r="S63" s="68"/>
      <c r="T63" t="str">
        <f t="shared" si="2"/>
        <v>9.27,  (9.27 , 9.27), 1</v>
      </c>
      <c r="U63">
        <f>MEDIAN(AC63:BB63)</f>
        <v>9.2743941970288297</v>
      </c>
      <c r="V63">
        <f>_xlfn.PERCENTILE.INC(AC63:BB63, 0.25)</f>
        <v>9.2743941970288297</v>
      </c>
      <c r="W63">
        <f>_xlfn.PERCENTILE.INC(AC63:BB63, 0.75)</f>
        <v>9.2743941970288297</v>
      </c>
      <c r="X63" t="str">
        <f t="shared" si="3"/>
        <v>0.89,  (0.89 , 0.89), 1</v>
      </c>
      <c r="Y63">
        <f>MEDIAN(BG63:CE63)</f>
        <v>0.89316309394488103</v>
      </c>
      <c r="Z63">
        <f>_xlfn.PERCENTILE.INC(BG63:CE63, 0.25)</f>
        <v>0.89316309394488103</v>
      </c>
      <c r="AA63">
        <f>_xlfn.PERCENTILE.INC(BG63:CE63, 0.75)</f>
        <v>0.89316309394488103</v>
      </c>
      <c r="AB63" s="48" t="s">
        <v>39</v>
      </c>
      <c r="AC63" t="s">
        <v>162</v>
      </c>
      <c r="AD63" t="s">
        <v>162</v>
      </c>
      <c r="AE63" t="s">
        <v>162</v>
      </c>
      <c r="AF63" t="s">
        <v>162</v>
      </c>
      <c r="AG63" s="58">
        <v>9.2743941970288297</v>
      </c>
      <c r="AH63" s="63" t="s">
        <v>162</v>
      </c>
      <c r="AI63" s="58" t="s">
        <v>162</v>
      </c>
      <c r="AJ63" s="63" t="s">
        <v>162</v>
      </c>
      <c r="AK63" s="63" t="s">
        <v>162</v>
      </c>
      <c r="AL63" s="63" t="s">
        <v>162</v>
      </c>
      <c r="AM63" s="69" t="s">
        <v>162</v>
      </c>
      <c r="AN63" s="58" t="s">
        <v>162</v>
      </c>
      <c r="AO63" s="63" t="s">
        <v>162</v>
      </c>
      <c r="AP63" s="58" t="s">
        <v>162</v>
      </c>
      <c r="BF63" s="48" t="s">
        <v>39</v>
      </c>
      <c r="BG63" t="s">
        <v>162</v>
      </c>
      <c r="BH63" t="s">
        <v>162</v>
      </c>
      <c r="BI63" t="s">
        <v>162</v>
      </c>
      <c r="BJ63" t="s">
        <v>162</v>
      </c>
      <c r="BK63" t="s">
        <v>162</v>
      </c>
      <c r="BL63" t="s">
        <v>162</v>
      </c>
      <c r="BM63" t="s">
        <v>162</v>
      </c>
      <c r="BN63" t="s">
        <v>162</v>
      </c>
      <c r="BO63" s="58">
        <v>0.89316309394488103</v>
      </c>
      <c r="BP63" s="66" t="s">
        <v>162</v>
      </c>
      <c r="BQ63" s="66" t="s">
        <v>162</v>
      </c>
    </row>
    <row r="64" spans="1:74" x14ac:dyDescent="0.3">
      <c r="A64" s="48" t="s">
        <v>40</v>
      </c>
      <c r="B64" s="10" t="str">
        <f t="shared" si="4"/>
        <v>4.86,  (4.86 , 4.86), 1</v>
      </c>
      <c r="C64" s="10" t="str">
        <f t="shared" si="5"/>
        <v>0.52,  (0.52 , 0.52), 1</v>
      </c>
      <c r="D64" s="53" t="str">
        <f t="shared" si="6"/>
        <v>Pending</v>
      </c>
      <c r="L64" t="s">
        <v>172</v>
      </c>
      <c r="M64" t="e">
        <f>_xlfn.T.TEST(AC64:BB64,BG64:CE64,2,2)</f>
        <v>#DIV/0!</v>
      </c>
      <c r="N64" t="s">
        <v>171</v>
      </c>
      <c r="O64" s="39">
        <v>1</v>
      </c>
      <c r="P64" s="39">
        <v>7</v>
      </c>
      <c r="Q64" s="39">
        <v>1</v>
      </c>
      <c r="R64" s="39">
        <v>3</v>
      </c>
      <c r="S64" s="68"/>
      <c r="T64" t="str">
        <f t="shared" si="2"/>
        <v>4.86,  (4.86 , 4.86), 1</v>
      </c>
      <c r="U64">
        <f>MEDIAN(AC64:BB64)</f>
        <v>4.8630034770572301</v>
      </c>
      <c r="V64">
        <f>_xlfn.PERCENTILE.INC(AC64:BB64, 0.25)</f>
        <v>4.8630034770572301</v>
      </c>
      <c r="W64">
        <f>_xlfn.PERCENTILE.INC(AC64:BB64, 0.75)</f>
        <v>4.8630034770572301</v>
      </c>
      <c r="X64" t="str">
        <f t="shared" si="3"/>
        <v>0.52,  (0.52 , 0.52), 1</v>
      </c>
      <c r="Y64">
        <f>MEDIAN(BG64:CE64)</f>
        <v>0.52535944249941502</v>
      </c>
      <c r="Z64">
        <f>_xlfn.PERCENTILE.INC(BG64:CE64, 0.25)</f>
        <v>0.52535944249941502</v>
      </c>
      <c r="AA64">
        <f>_xlfn.PERCENTILE.INC(BG64:CE64, 0.75)</f>
        <v>0.52535944249941502</v>
      </c>
      <c r="AB64" s="48" t="s">
        <v>40</v>
      </c>
      <c r="AC64" t="s">
        <v>162</v>
      </c>
      <c r="AD64" t="s">
        <v>162</v>
      </c>
      <c r="AE64" t="s">
        <v>162</v>
      </c>
      <c r="AF64" t="s">
        <v>162</v>
      </c>
      <c r="AG64" s="58">
        <v>4.8630034770572301</v>
      </c>
      <c r="AH64" s="59" t="s">
        <v>162</v>
      </c>
      <c r="AI64" s="58" t="s">
        <v>162</v>
      </c>
      <c r="AJ64" s="63" t="s">
        <v>162</v>
      </c>
      <c r="AK64" s="63" t="s">
        <v>162</v>
      </c>
      <c r="AL64" s="63" t="s">
        <v>162</v>
      </c>
      <c r="AM64" s="69" t="s">
        <v>162</v>
      </c>
      <c r="AN64" s="58" t="s">
        <v>162</v>
      </c>
      <c r="AO64" s="63" t="s">
        <v>162</v>
      </c>
      <c r="AP64" s="58" t="s">
        <v>162</v>
      </c>
      <c r="BF64" s="48" t="s">
        <v>40</v>
      </c>
      <c r="BG64" t="s">
        <v>162</v>
      </c>
      <c r="BH64" t="s">
        <v>162</v>
      </c>
      <c r="BI64" t="s">
        <v>162</v>
      </c>
      <c r="BJ64" t="s">
        <v>162</v>
      </c>
      <c r="BK64" t="s">
        <v>162</v>
      </c>
      <c r="BL64" t="s">
        <v>162</v>
      </c>
      <c r="BM64" t="s">
        <v>162</v>
      </c>
      <c r="BN64" t="s">
        <v>162</v>
      </c>
      <c r="BO64" s="58">
        <v>0.52535944249941502</v>
      </c>
      <c r="BP64" s="66" t="s">
        <v>162</v>
      </c>
      <c r="BQ64" s="66" t="s">
        <v>162</v>
      </c>
    </row>
    <row r="65" spans="1:39" ht="15" thickBot="1" x14ac:dyDescent="0.35">
      <c r="A65" s="51"/>
      <c r="B65" s="55"/>
      <c r="C65" s="55"/>
      <c r="D65" s="56"/>
      <c r="AM65" t="s">
        <v>231</v>
      </c>
    </row>
  </sheetData>
  <mergeCells count="2">
    <mergeCell ref="A25:D25"/>
    <mergeCell ref="A14:D14"/>
  </mergeCells>
  <pageMargins left="0.7" right="0.7" top="0.75" bottom="0.75" header="0.3" footer="0.3"/>
  <pageSetup scale="1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 1- Demographics</vt:lpstr>
      <vt:lpstr>Table 2- CVR and Association v8</vt:lpstr>
      <vt:lpstr>Table 2- CVR and Assoc v7 Subse</vt:lpstr>
      <vt:lpstr>Table 2- CVR and Association v7</vt:lpstr>
      <vt:lpstr>Archive</vt:lpstr>
      <vt:lpstr>Table 2- CVR and Association v6</vt:lpstr>
      <vt:lpstr>Table 2- CVR and Association v5</vt:lpstr>
      <vt:lpstr>Table 2- CVR and Association v4</vt:lpstr>
      <vt:lpstr>Table 2- CVR and Association v3</vt:lpstr>
      <vt:lpstr>Table 2-SX- Associations v2</vt:lpstr>
      <vt:lpstr>Table X- CVR Data</vt:lpstr>
      <vt:lpstr>Table 3-SX- Associations v1</vt:lpstr>
      <vt:lpstr>Table SX- Resting Optical Data</vt:lpstr>
    </vt:vector>
  </TitlesOfParts>
  <Manager/>
  <Company>Emory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</dc:creator>
  <cp:keywords/>
  <dc:description/>
  <cp:lastModifiedBy>Kyle Cowdrick</cp:lastModifiedBy>
  <cp:revision/>
  <cp:lastPrinted>2023-06-26T15:59:16Z</cp:lastPrinted>
  <dcterms:created xsi:type="dcterms:W3CDTF">2023-01-03T17:22:49Z</dcterms:created>
  <dcterms:modified xsi:type="dcterms:W3CDTF">2023-07-05T03:02:50Z</dcterms:modified>
  <cp:category/>
  <cp:contentStatus/>
</cp:coreProperties>
</file>